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расп 2128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лот1!$A$1:$AR$36</definedName>
  </definedNames>
  <calcPr calcId="152511"/>
</workbook>
</file>

<file path=xl/calcChain.xml><?xml version="1.0" encoding="utf-8"?>
<calcChain xmlns="http://schemas.openxmlformats.org/spreadsheetml/2006/main">
  <c r="AQ33" i="3" l="1"/>
  <c r="AQ32" i="3"/>
  <c r="AQ31" i="3"/>
  <c r="AQ30" i="3"/>
  <c r="AQ29" i="3"/>
  <c r="AQ28" i="3" s="1"/>
  <c r="AQ27" i="3"/>
  <c r="AQ26" i="3"/>
  <c r="AQ25" i="3"/>
  <c r="AQ24" i="3"/>
  <c r="AQ23" i="3"/>
  <c r="AQ22" i="3" s="1"/>
  <c r="AQ21" i="3"/>
  <c r="AQ20" i="3"/>
  <c r="AQ19" i="3"/>
  <c r="AQ18" i="3"/>
  <c r="AQ17" i="3"/>
  <c r="AQ16" i="3"/>
  <c r="AQ15" i="3"/>
  <c r="AQ14" i="3" s="1"/>
  <c r="AP33" i="3"/>
  <c r="AO33" i="3"/>
  <c r="AP32" i="3"/>
  <c r="AO32" i="3"/>
  <c r="AP31" i="3"/>
  <c r="AO31" i="3"/>
  <c r="AP30" i="3"/>
  <c r="AO30" i="3"/>
  <c r="AP29" i="3"/>
  <c r="AP28" i="3" s="1"/>
  <c r="AO29" i="3"/>
  <c r="AO28" i="3" s="1"/>
  <c r="AN29" i="3"/>
  <c r="AN28" i="3" s="1"/>
  <c r="AP27" i="3"/>
  <c r="AO27" i="3"/>
  <c r="AO22" i="3" s="1"/>
  <c r="AN27" i="3"/>
  <c r="AP26" i="3"/>
  <c r="AO26" i="3"/>
  <c r="AP25" i="3"/>
  <c r="AO25" i="3"/>
  <c r="AP24" i="3"/>
  <c r="AO24" i="3"/>
  <c r="AP23" i="3"/>
  <c r="AP22" i="3" s="1"/>
  <c r="AO23" i="3"/>
  <c r="AN22" i="3"/>
  <c r="AP21" i="3"/>
  <c r="AO21" i="3"/>
  <c r="AP20" i="3"/>
  <c r="AO20" i="3"/>
  <c r="AP19" i="3"/>
  <c r="AO19" i="3"/>
  <c r="AP18" i="3"/>
  <c r="AO18" i="3"/>
  <c r="AP17" i="3"/>
  <c r="AO17" i="3"/>
  <c r="AP16" i="3"/>
  <c r="AO16" i="3"/>
  <c r="AO14" i="3" s="1"/>
  <c r="AP15" i="3"/>
  <c r="AO15" i="3"/>
  <c r="AP14" i="3"/>
  <c r="AN14" i="3"/>
  <c r="AN9" i="3"/>
  <c r="AC15" i="3"/>
  <c r="AC16" i="3"/>
  <c r="AQ34" i="3" l="1"/>
  <c r="AQ36" i="3" s="1"/>
  <c r="AN36" i="3"/>
  <c r="AP34" i="3"/>
  <c r="AP36" i="3" s="1"/>
  <c r="AO34" i="3"/>
  <c r="AO36" i="3" s="1"/>
  <c r="AD15" i="3"/>
  <c r="AE15" i="3"/>
  <c r="AF15" i="3"/>
  <c r="AG15" i="3"/>
  <c r="AH15" i="3"/>
  <c r="AI15" i="3"/>
  <c r="AJ15" i="3"/>
  <c r="AK15" i="3"/>
  <c r="AL15" i="3"/>
  <c r="AD16" i="3"/>
  <c r="AE16" i="3"/>
  <c r="AF16" i="3"/>
  <c r="AG16" i="3"/>
  <c r="AH16" i="3"/>
  <c r="AI16" i="3"/>
  <c r="AJ16" i="3"/>
  <c r="AK16" i="3"/>
  <c r="AL16" i="3"/>
  <c r="AC17" i="3"/>
  <c r="AD17" i="3"/>
  <c r="AE17" i="3"/>
  <c r="AF17" i="3"/>
  <c r="AG17" i="3"/>
  <c r="AH17" i="3"/>
  <c r="AI17" i="3"/>
  <c r="AJ17" i="3"/>
  <c r="AK17" i="3"/>
  <c r="AL17" i="3"/>
  <c r="AC18" i="3"/>
  <c r="AD18" i="3"/>
  <c r="AE18" i="3"/>
  <c r="AF18" i="3"/>
  <c r="AG18" i="3"/>
  <c r="AH18" i="3"/>
  <c r="AI18" i="3"/>
  <c r="AJ18" i="3"/>
  <c r="AK18" i="3"/>
  <c r="AL18" i="3"/>
  <c r="AC19" i="3"/>
  <c r="AD19" i="3"/>
  <c r="AE19" i="3"/>
  <c r="AF19" i="3"/>
  <c r="AG19" i="3"/>
  <c r="AH19" i="3"/>
  <c r="AI19" i="3"/>
  <c r="AJ19" i="3"/>
  <c r="AK19" i="3"/>
  <c r="AL19" i="3"/>
  <c r="AC20" i="3"/>
  <c r="AD20" i="3"/>
  <c r="AE20" i="3"/>
  <c r="AF20" i="3"/>
  <c r="AG20" i="3"/>
  <c r="AH20" i="3"/>
  <c r="AI20" i="3"/>
  <c r="AJ20" i="3"/>
  <c r="AK20" i="3"/>
  <c r="AL20" i="3"/>
  <c r="AC21" i="3"/>
  <c r="AD21" i="3"/>
  <c r="AE21" i="3"/>
  <c r="AF21" i="3"/>
  <c r="AG21" i="3"/>
  <c r="AH21" i="3"/>
  <c r="AI21" i="3"/>
  <c r="AJ21" i="3"/>
  <c r="AK21" i="3"/>
  <c r="AL21" i="3"/>
  <c r="AC23" i="3"/>
  <c r="AD23" i="3"/>
  <c r="AE23" i="3"/>
  <c r="AF23" i="3"/>
  <c r="AG23" i="3"/>
  <c r="AH23" i="3"/>
  <c r="AI23" i="3"/>
  <c r="AJ23" i="3"/>
  <c r="AK23" i="3"/>
  <c r="AL23" i="3"/>
  <c r="AC24" i="3"/>
  <c r="AD24" i="3"/>
  <c r="AE24" i="3"/>
  <c r="AF24" i="3"/>
  <c r="AG24" i="3"/>
  <c r="AH24" i="3"/>
  <c r="AI24" i="3"/>
  <c r="AJ24" i="3"/>
  <c r="AK24" i="3"/>
  <c r="AL24" i="3"/>
  <c r="AC25" i="3"/>
  <c r="AD25" i="3"/>
  <c r="AE25" i="3"/>
  <c r="AF25" i="3"/>
  <c r="AG25" i="3"/>
  <c r="AH25" i="3"/>
  <c r="AI25" i="3"/>
  <c r="AJ25" i="3"/>
  <c r="AK25" i="3"/>
  <c r="AL25" i="3"/>
  <c r="AC26" i="3"/>
  <c r="AD26" i="3"/>
  <c r="AE26" i="3"/>
  <c r="AF26" i="3"/>
  <c r="AG26" i="3"/>
  <c r="AH26" i="3"/>
  <c r="AI26" i="3"/>
  <c r="AJ26" i="3"/>
  <c r="AK26" i="3"/>
  <c r="AL26" i="3"/>
  <c r="AC27" i="3"/>
  <c r="AD27" i="3"/>
  <c r="AE27" i="3"/>
  <c r="AF27" i="3"/>
  <c r="AG27" i="3"/>
  <c r="AH27" i="3"/>
  <c r="AI27" i="3"/>
  <c r="AJ27" i="3"/>
  <c r="AK27" i="3"/>
  <c r="AL27" i="3"/>
  <c r="AC29" i="3"/>
  <c r="AD29" i="3"/>
  <c r="AE29" i="3"/>
  <c r="AF29" i="3"/>
  <c r="AG29" i="3"/>
  <c r="AH29" i="3"/>
  <c r="AI29" i="3"/>
  <c r="AJ29" i="3"/>
  <c r="AK29" i="3"/>
  <c r="AL29" i="3"/>
  <c r="AC30" i="3"/>
  <c r="AD30" i="3"/>
  <c r="AE30" i="3"/>
  <c r="AF30" i="3"/>
  <c r="AG30" i="3"/>
  <c r="AH30" i="3"/>
  <c r="AI30" i="3"/>
  <c r="AJ30" i="3"/>
  <c r="AK30" i="3"/>
  <c r="AL30" i="3"/>
  <c r="AC31" i="3"/>
  <c r="AD31" i="3"/>
  <c r="AE31" i="3"/>
  <c r="AF31" i="3"/>
  <c r="AG31" i="3"/>
  <c r="AH31" i="3"/>
  <c r="AI31" i="3"/>
  <c r="AJ31" i="3"/>
  <c r="AK31" i="3"/>
  <c r="AL31" i="3"/>
  <c r="AC32" i="3"/>
  <c r="AD32" i="3"/>
  <c r="AE32" i="3"/>
  <c r="AF32" i="3"/>
  <c r="AG32" i="3"/>
  <c r="AH32" i="3"/>
  <c r="AI32" i="3"/>
  <c r="AJ32" i="3"/>
  <c r="AK32" i="3"/>
  <c r="AL32" i="3"/>
  <c r="AC33" i="3"/>
  <c r="AD33" i="3"/>
  <c r="AE33" i="3"/>
  <c r="AF33" i="3"/>
  <c r="AG33" i="3"/>
  <c r="AH33" i="3"/>
  <c r="AI33" i="3"/>
  <c r="AJ33" i="3"/>
  <c r="AK33" i="3"/>
  <c r="AL33" i="3"/>
  <c r="AC14" i="3" l="1"/>
  <c r="AL28" i="3"/>
  <c r="AJ28" i="3"/>
  <c r="AH28" i="3"/>
  <c r="AF28" i="3"/>
  <c r="AD28" i="3"/>
  <c r="AL22" i="3"/>
  <c r="AJ22" i="3"/>
  <c r="AH22" i="3"/>
  <c r="AF22" i="3"/>
  <c r="AD22" i="3"/>
  <c r="AK14" i="3"/>
  <c r="AI14" i="3"/>
  <c r="AG14" i="3"/>
  <c r="AE14" i="3"/>
  <c r="AK28" i="3"/>
  <c r="AI28" i="3"/>
  <c r="AG28" i="3"/>
  <c r="AE28" i="3"/>
  <c r="AC28" i="3"/>
  <c r="AK22" i="3"/>
  <c r="AI22" i="3"/>
  <c r="AG22" i="3"/>
  <c r="AE22" i="3"/>
  <c r="AC22" i="3"/>
  <c r="AL14" i="3"/>
  <c r="AJ14" i="3"/>
  <c r="AH14" i="3"/>
  <c r="AH34" i="3" s="1"/>
  <c r="AH36" i="3" s="1"/>
  <c r="AF14" i="3"/>
  <c r="AD14" i="3"/>
  <c r="AL34" i="3"/>
  <c r="Z33" i="3"/>
  <c r="Y33" i="3"/>
  <c r="Z32" i="3"/>
  <c r="Y32" i="3"/>
  <c r="Z31" i="3"/>
  <c r="Y31" i="3"/>
  <c r="Z30" i="3"/>
  <c r="Y30" i="3"/>
  <c r="Z29" i="3"/>
  <c r="Y29" i="3"/>
  <c r="Z28" i="3"/>
  <c r="Y28" i="3"/>
  <c r="Z27" i="3"/>
  <c r="Y27" i="3"/>
  <c r="Z26" i="3"/>
  <c r="Y26" i="3"/>
  <c r="Z25" i="3"/>
  <c r="Y25" i="3"/>
  <c r="Z24" i="3"/>
  <c r="Y24" i="3"/>
  <c r="Z23" i="3"/>
  <c r="Y23" i="3"/>
  <c r="Z22" i="3"/>
  <c r="Y22" i="3"/>
  <c r="Z21" i="3"/>
  <c r="Y21" i="3"/>
  <c r="Z20" i="3"/>
  <c r="Y20" i="3"/>
  <c r="Z19" i="3"/>
  <c r="Y19" i="3"/>
  <c r="Z18" i="3"/>
  <c r="Y18" i="3"/>
  <c r="Z17" i="3"/>
  <c r="Y17" i="3"/>
  <c r="Z16" i="3"/>
  <c r="Y16" i="3"/>
  <c r="Z15" i="3"/>
  <c r="Y15" i="3"/>
  <c r="Z14" i="3"/>
  <c r="Z34" i="3" s="1"/>
  <c r="Z36" i="3" s="1"/>
  <c r="Y14" i="3"/>
  <c r="Y34" i="3" s="1"/>
  <c r="Y36" i="3" s="1"/>
  <c r="X33" i="3"/>
  <c r="X32" i="3"/>
  <c r="X31" i="3"/>
  <c r="X30" i="3"/>
  <c r="X29" i="3"/>
  <c r="X27" i="3"/>
  <c r="X26" i="3"/>
  <c r="X25" i="3"/>
  <c r="X24" i="3"/>
  <c r="X23" i="3"/>
  <c r="X21" i="3"/>
  <c r="X20" i="3"/>
  <c r="X19" i="3"/>
  <c r="X18" i="3"/>
  <c r="X17" i="3"/>
  <c r="X16" i="3"/>
  <c r="X15" i="3"/>
  <c r="T33" i="3"/>
  <c r="T32" i="3"/>
  <c r="T31" i="3"/>
  <c r="T30" i="3"/>
  <c r="T29" i="3"/>
  <c r="T27" i="3"/>
  <c r="T26" i="3"/>
  <c r="T25" i="3"/>
  <c r="T24" i="3"/>
  <c r="T23" i="3"/>
  <c r="T21" i="3"/>
  <c r="T20" i="3"/>
  <c r="T19" i="3"/>
  <c r="T18" i="3"/>
  <c r="T17" i="3"/>
  <c r="T16" i="3"/>
  <c r="T15" i="3"/>
  <c r="T14" i="3"/>
  <c r="T9" i="3"/>
  <c r="S33" i="3"/>
  <c r="R33" i="3"/>
  <c r="Q33" i="3"/>
  <c r="P33" i="3"/>
  <c r="S32" i="3"/>
  <c r="R32" i="3"/>
  <c r="Q32" i="3"/>
  <c r="P32" i="3"/>
  <c r="S31" i="3"/>
  <c r="R31" i="3"/>
  <c r="Q31" i="3"/>
  <c r="P31" i="3"/>
  <c r="S30" i="3"/>
  <c r="R30" i="3"/>
  <c r="Q30" i="3"/>
  <c r="P30" i="3"/>
  <c r="S29" i="3"/>
  <c r="R29" i="3"/>
  <c r="Q29" i="3"/>
  <c r="P29" i="3"/>
  <c r="S28" i="3"/>
  <c r="R28" i="3"/>
  <c r="Q28" i="3"/>
  <c r="P28" i="3"/>
  <c r="S27" i="3"/>
  <c r="R27" i="3"/>
  <c r="Q27" i="3"/>
  <c r="P27" i="3"/>
  <c r="S26" i="3"/>
  <c r="R26" i="3"/>
  <c r="Q26" i="3"/>
  <c r="P26" i="3"/>
  <c r="S25" i="3"/>
  <c r="R25" i="3"/>
  <c r="Q25" i="3"/>
  <c r="P25" i="3"/>
  <c r="S24" i="3"/>
  <c r="R24" i="3"/>
  <c r="Q24" i="3"/>
  <c r="P24" i="3"/>
  <c r="S23" i="3"/>
  <c r="R23" i="3"/>
  <c r="Q23" i="3"/>
  <c r="P23" i="3"/>
  <c r="S22" i="3"/>
  <c r="R22" i="3"/>
  <c r="Q22" i="3"/>
  <c r="P22" i="3"/>
  <c r="S21" i="3"/>
  <c r="R21" i="3"/>
  <c r="Q21" i="3"/>
  <c r="P21" i="3"/>
  <c r="S20" i="3"/>
  <c r="R20" i="3"/>
  <c r="Q20" i="3"/>
  <c r="P20" i="3"/>
  <c r="S19" i="3"/>
  <c r="R19" i="3"/>
  <c r="Q19" i="3"/>
  <c r="P19" i="3"/>
  <c r="S18" i="3"/>
  <c r="R18" i="3"/>
  <c r="Q18" i="3"/>
  <c r="P18" i="3"/>
  <c r="S17" i="3"/>
  <c r="R17" i="3"/>
  <c r="Q17" i="3"/>
  <c r="P17" i="3"/>
  <c r="S16" i="3"/>
  <c r="R16" i="3"/>
  <c r="Q16" i="3"/>
  <c r="P16" i="3"/>
  <c r="S15" i="3"/>
  <c r="R15" i="3"/>
  <c r="Q15" i="3"/>
  <c r="P15" i="3"/>
  <c r="S14" i="3"/>
  <c r="S34" i="3" s="1"/>
  <c r="S36" i="3" s="1"/>
  <c r="R14" i="3"/>
  <c r="R34" i="3" s="1"/>
  <c r="R36" i="3" s="1"/>
  <c r="Q14" i="3"/>
  <c r="Q34" i="3" s="1"/>
  <c r="Q36" i="3" s="1"/>
  <c r="P14" i="3"/>
  <c r="P34" i="3" s="1"/>
  <c r="P36" i="3" s="1"/>
  <c r="S9" i="3"/>
  <c r="R9" i="3"/>
  <c r="Q9" i="3"/>
  <c r="P9" i="3"/>
  <c r="O33" i="3"/>
  <c r="N33" i="3"/>
  <c r="O32" i="3"/>
  <c r="N32" i="3"/>
  <c r="O31" i="3"/>
  <c r="N31" i="3"/>
  <c r="O30" i="3"/>
  <c r="N30" i="3"/>
  <c r="O29" i="3"/>
  <c r="N29" i="3"/>
  <c r="O28" i="3"/>
  <c r="O27" i="3"/>
  <c r="N27" i="3"/>
  <c r="O26" i="3"/>
  <c r="N26" i="3"/>
  <c r="O25" i="3"/>
  <c r="N25" i="3"/>
  <c r="O24" i="3"/>
  <c r="N24" i="3"/>
  <c r="O23" i="3"/>
  <c r="O22" i="3" s="1"/>
  <c r="N23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O14" i="3" s="1"/>
  <c r="N15" i="3"/>
  <c r="N14" i="3" s="1"/>
  <c r="O9" i="3"/>
  <c r="N9" i="3"/>
  <c r="M33" i="3"/>
  <c r="M32" i="3"/>
  <c r="M31" i="3"/>
  <c r="M30" i="3"/>
  <c r="M29" i="3"/>
  <c r="M27" i="3"/>
  <c r="M26" i="3"/>
  <c r="M25" i="3"/>
  <c r="M24" i="3"/>
  <c r="M23" i="3"/>
  <c r="M21" i="3"/>
  <c r="M20" i="3"/>
  <c r="M19" i="3"/>
  <c r="M18" i="3"/>
  <c r="M17" i="3"/>
  <c r="M16" i="3"/>
  <c r="M15" i="3"/>
  <c r="M9" i="3"/>
  <c r="W15" i="3"/>
  <c r="W16" i="3"/>
  <c r="W17" i="3"/>
  <c r="W18" i="3"/>
  <c r="W19" i="3"/>
  <c r="W20" i="3"/>
  <c r="W21" i="3"/>
  <c r="W23" i="3"/>
  <c r="W24" i="3"/>
  <c r="W25" i="3"/>
  <c r="W26" i="3"/>
  <c r="W27" i="3"/>
  <c r="W29" i="3"/>
  <c r="W30" i="3"/>
  <c r="W31" i="3"/>
  <c r="W32" i="3"/>
  <c r="W33" i="3"/>
  <c r="N22" i="3" l="1"/>
  <c r="T22" i="3"/>
  <c r="AD34" i="3"/>
  <c r="AG34" i="3"/>
  <c r="AG36" i="3" s="1"/>
  <c r="N28" i="3"/>
  <c r="T28" i="3"/>
  <c r="T34" i="3" s="1"/>
  <c r="T36" i="3" s="1"/>
  <c r="AK34" i="3"/>
  <c r="X22" i="3"/>
  <c r="AC34" i="3"/>
  <c r="AF34" i="3"/>
  <c r="AF36" i="3" s="1"/>
  <c r="AJ34" i="3"/>
  <c r="AJ36" i="3" s="1"/>
  <c r="X14" i="3"/>
  <c r="X28" i="3"/>
  <c r="AE34" i="3"/>
  <c r="AE36" i="3" s="1"/>
  <c r="AI34" i="3"/>
  <c r="AI36" i="3" s="1"/>
  <c r="O34" i="3"/>
  <c r="O36" i="3" s="1"/>
  <c r="N34" i="3"/>
  <c r="N36" i="3" s="1"/>
  <c r="M22" i="3"/>
  <c r="M14" i="3"/>
  <c r="M28" i="3"/>
  <c r="W28" i="3"/>
  <c r="W14" i="3"/>
  <c r="W22" i="3"/>
  <c r="X34" i="3" l="1"/>
  <c r="X36" i="3" s="1"/>
  <c r="AL36" i="3"/>
  <c r="AK36" i="3"/>
  <c r="W34" i="3"/>
  <c r="W36" i="3" s="1"/>
  <c r="AD36" i="3"/>
  <c r="M34" i="3"/>
  <c r="M36" i="3" s="1"/>
  <c r="AB31" i="3" l="1"/>
  <c r="AB29" i="3"/>
  <c r="AB27" i="3"/>
  <c r="AB22" i="3" s="1"/>
  <c r="AB14" i="3"/>
  <c r="AB9" i="3"/>
  <c r="L33" i="3"/>
  <c r="L32" i="3"/>
  <c r="L31" i="3"/>
  <c r="L30" i="3"/>
  <c r="L29" i="3"/>
  <c r="L27" i="3"/>
  <c r="L26" i="3"/>
  <c r="L25" i="3"/>
  <c r="L24" i="3"/>
  <c r="L23" i="3"/>
  <c r="L21" i="3"/>
  <c r="L20" i="3"/>
  <c r="L19" i="3"/>
  <c r="L18" i="3"/>
  <c r="L17" i="3"/>
  <c r="L16" i="3"/>
  <c r="L15" i="3"/>
  <c r="L9" i="3"/>
  <c r="L14" i="3" l="1"/>
  <c r="L28" i="3"/>
  <c r="AB28" i="3"/>
  <c r="AB36" i="3" s="1"/>
  <c r="L22" i="3"/>
  <c r="K33" i="3"/>
  <c r="K32" i="3"/>
  <c r="K31" i="3"/>
  <c r="K30" i="3"/>
  <c r="K29" i="3"/>
  <c r="K27" i="3"/>
  <c r="K26" i="3"/>
  <c r="K25" i="3"/>
  <c r="K24" i="3"/>
  <c r="K23" i="3"/>
  <c r="K21" i="3"/>
  <c r="K20" i="3"/>
  <c r="K19" i="3"/>
  <c r="K18" i="3"/>
  <c r="K17" i="3"/>
  <c r="K16" i="3"/>
  <c r="K15" i="3"/>
  <c r="K9" i="3"/>
  <c r="J9" i="3"/>
  <c r="J33" i="3"/>
  <c r="J32" i="3"/>
  <c r="J31" i="3"/>
  <c r="J30" i="3"/>
  <c r="J29" i="3"/>
  <c r="J27" i="3"/>
  <c r="J26" i="3"/>
  <c r="J25" i="3"/>
  <c r="J24" i="3"/>
  <c r="J23" i="3"/>
  <c r="J21" i="3"/>
  <c r="J20" i="3"/>
  <c r="J19" i="3"/>
  <c r="J18" i="3"/>
  <c r="J17" i="3"/>
  <c r="J16" i="3"/>
  <c r="I33" i="3"/>
  <c r="I32" i="3"/>
  <c r="I31" i="3"/>
  <c r="I30" i="3"/>
  <c r="I29" i="3"/>
  <c r="I27" i="3"/>
  <c r="I26" i="3"/>
  <c r="I25" i="3"/>
  <c r="I24" i="3"/>
  <c r="I23" i="3"/>
  <c r="I21" i="3"/>
  <c r="I20" i="3"/>
  <c r="I19" i="3"/>
  <c r="I18" i="3"/>
  <c r="I17" i="3"/>
  <c r="I16" i="3"/>
  <c r="J15" i="3"/>
  <c r="I15" i="3"/>
  <c r="I9" i="3"/>
  <c r="L34" i="3" l="1"/>
  <c r="L36" i="3" s="1"/>
  <c r="AC36" i="3"/>
  <c r="K14" i="3"/>
  <c r="K28" i="3"/>
  <c r="K22" i="3"/>
  <c r="J22" i="3"/>
  <c r="J14" i="3"/>
  <c r="J28" i="3"/>
  <c r="H31" i="3"/>
  <c r="H14" i="3"/>
  <c r="H29" i="3"/>
  <c r="H26" i="3"/>
  <c r="H27" i="3"/>
  <c r="K34" i="3" l="1"/>
  <c r="K36" i="3" s="1"/>
  <c r="J34" i="3"/>
  <c r="J36" i="3" s="1"/>
  <c r="I22" i="3"/>
  <c r="H28" i="3"/>
  <c r="H22" i="3"/>
  <c r="H9" i="3"/>
  <c r="H36" i="3" l="1"/>
  <c r="I28" i="3"/>
  <c r="I14" i="3" l="1"/>
  <c r="I34" i="3" s="1"/>
  <c r="AS34" i="3" s="1"/>
  <c r="AT34" i="3" s="1"/>
  <c r="I36" i="3" l="1"/>
</calcChain>
</file>

<file path=xl/sharedStrings.xml><?xml version="1.0" encoding="utf-8"?>
<sst xmlns="http://schemas.openxmlformats.org/spreadsheetml/2006/main" count="199" uniqueCount="105">
  <si>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</si>
  <si>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</si>
  <si>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</si>
  <si>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</si>
  <si>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</si>
  <si>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</si>
  <si>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</si>
  <si>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</si>
  <si>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</si>
  <si>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</si>
  <si>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</si>
  <si>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</si>
  <si>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</si>
  <si>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</si>
  <si>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</si>
  <si>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</si>
  <si>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</si>
  <si>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</si>
  <si>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</si>
  <si>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</si>
  <si>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</si>
  <si>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</si>
  <si>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</si>
  <si>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</si>
  <si>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</si>
  <si>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</si>
  <si>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</si>
  <si>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</si>
  <si>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</si>
  <si>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</si>
  <si>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</si>
  <si>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</si>
  <si>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</si>
  <si>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</si>
  <si>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</si>
  <si>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</si>
  <si>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</si>
  <si>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</si>
  <si>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</si>
  <si>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</si>
  <si>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</si>
  <si>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</si>
  <si>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</si>
  <si>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</si>
  <si>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</si>
  <si>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</si>
  <si>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</si>
  <si>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</si>
  <si>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</si>
  <si>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</si>
  <si>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</si>
  <si>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</si>
  <si>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</si>
  <si>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деревянный благоустроенный без центр отопления</t>
  </si>
  <si>
    <t>МВК    деревянный благоустроенный без центр отопления</t>
  </si>
  <si>
    <t>Лот № 2</t>
  </si>
  <si>
    <t>Жилой район Соломбальский тер. округ</t>
  </si>
  <si>
    <t xml:space="preserve">Адмирала Кузнецова </t>
  </si>
  <si>
    <t xml:space="preserve">Гуляева  </t>
  </si>
  <si>
    <t xml:space="preserve">Кедрова  </t>
  </si>
  <si>
    <t xml:space="preserve">Мещерского  </t>
  </si>
  <si>
    <t xml:space="preserve">Советская  </t>
  </si>
  <si>
    <t xml:space="preserve">Ярославская  </t>
  </si>
  <si>
    <t>8 корп.1</t>
  </si>
  <si>
    <t>21 корп.3</t>
  </si>
  <si>
    <t>109 корп.1</t>
  </si>
  <si>
    <t>120 корп.4</t>
  </si>
  <si>
    <t>19 корп.1</t>
  </si>
  <si>
    <t>714,6</t>
  </si>
  <si>
    <t>513,5</t>
  </si>
  <si>
    <t>522,6</t>
  </si>
  <si>
    <t>367,2</t>
  </si>
  <si>
    <t>713,8</t>
  </si>
  <si>
    <t>342,3</t>
  </si>
  <si>
    <t>539,4</t>
  </si>
  <si>
    <t>4 корп.1</t>
  </si>
  <si>
    <t>522,9</t>
  </si>
  <si>
    <t>327,5</t>
  </si>
  <si>
    <t>716,2</t>
  </si>
  <si>
    <t>395,1</t>
  </si>
  <si>
    <t xml:space="preserve">Красных партизан  </t>
  </si>
  <si>
    <t xml:space="preserve">Челюскинцев  </t>
  </si>
  <si>
    <t>21 корп.1</t>
  </si>
  <si>
    <t>118 корп.1</t>
  </si>
  <si>
    <t>121 корп.1</t>
  </si>
  <si>
    <t>22 корп.1</t>
  </si>
  <si>
    <t>63 корп.1</t>
  </si>
  <si>
    <t>758,4</t>
  </si>
  <si>
    <t>771,1</t>
  </si>
  <si>
    <t>400,3</t>
  </si>
  <si>
    <t>609,2</t>
  </si>
  <si>
    <t>606,5</t>
  </si>
  <si>
    <t>343,7</t>
  </si>
  <si>
    <t>589,4</t>
  </si>
  <si>
    <t>404,3</t>
  </si>
  <si>
    <t>522,8</t>
  </si>
  <si>
    <t>341,9</t>
  </si>
  <si>
    <t>743,3</t>
  </si>
  <si>
    <t>403,6</t>
  </si>
  <si>
    <t xml:space="preserve">Ярославская   </t>
  </si>
  <si>
    <t>52 корп.2</t>
  </si>
  <si>
    <t>529,6</t>
  </si>
  <si>
    <t xml:space="preserve">Приложение № 2 </t>
  </si>
  <si>
    <t>к извещению и документации</t>
  </si>
  <si>
    <t>о проведении открытого конкурса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</si>
</sst>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1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 vertical="top"/>
    </xf>
    <xf numFmtId="4" fontId="10" fillId="2" borderId="5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left" vertical="top"/>
    </xf>
    <xf numFmtId="4" fontId="10" fillId="2" borderId="1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/>
    </xf>
    <xf numFmtId="4" fontId="8" fillId="2" borderId="5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left"/>
    </xf>
    <xf numFmtId="4" fontId="8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top"/>
    </xf>
    <xf numFmtId="4" fontId="8" fillId="0" borderId="5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top"/>
    </xf>
    <xf numFmtId="4" fontId="4" fillId="2" borderId="5" xfId="0" applyNumberFormat="1" applyFont="1" applyFill="1" applyBorder="1" applyAlignment="1">
      <alignment horizontal="center" vertical="top"/>
    </xf>
    <xf numFmtId="4" fontId="10" fillId="2" borderId="17" xfId="0" applyNumberFormat="1" applyFont="1" applyFill="1" applyBorder="1" applyAlignment="1">
      <alignment horizontal="left" vertical="top"/>
    </xf>
    <xf numFmtId="4" fontId="10" fillId="2" borderId="17" xfId="0" applyNumberFormat="1" applyFont="1" applyFill="1" applyBorder="1" applyAlignment="1">
      <alignment horizontal="center" vertical="center"/>
    </xf>
    <xf numFmtId="4" fontId="10" fillId="2" borderId="17" xfId="0" applyNumberFormat="1" applyFont="1" applyFill="1" applyBorder="1" applyAlignment="1">
      <alignment horizontal="center" vertical="top"/>
    </xf>
    <xf numFmtId="4" fontId="8" fillId="0" borderId="17" xfId="0" applyNumberFormat="1" applyFont="1" applyFill="1" applyBorder="1" applyAlignment="1">
      <alignment horizontal="left" vertical="top"/>
    </xf>
    <xf numFmtId="4" fontId="8" fillId="2" borderId="5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15" xfId="0" applyNumberFormat="1" applyFont="1" applyFill="1" applyBorder="1" applyAlignment="1">
      <alignment horizontal="center" vertical="top"/>
    </xf>
    <xf numFmtId="0" fontId="11" fillId="0" borderId="0" xfId="0" applyNumberFormat="1" applyFont="1" applyAlignment="1"/>
    <xf numFmtId="0" fontId="12" fillId="0" borderId="0" xfId="0" applyNumberFormat="1" applyFont="1" applyAlignment="1"/>
    <xf numFmtId="4" fontId="2" fillId="0" borderId="0" xfId="0" applyNumberFormat="1" applyFont="1" applyAlignment="1"/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15" fillId="0" borderId="23" xfId="0" applyNumberFormat="1" applyFont="1" applyBorder="1" applyAlignment="1">
      <alignment horizontal="center" vertical="center" wrapText="1"/>
    </xf>
    <xf numFmtId="0" fontId="15" fillId="2" borderId="23" xfId="0" applyNumberFormat="1" applyFont="1" applyFill="1" applyBorder="1" applyAlignment="1">
      <alignment horizontal="center" vertical="center" wrapText="1"/>
    </xf>
    <xf numFmtId="4" fontId="8" fillId="2" borderId="25" xfId="0" applyNumberFormat="1" applyFont="1" applyFill="1" applyBorder="1" applyAlignment="1">
      <alignment horizontal="left" vertical="top"/>
    </xf>
    <xf numFmtId="0" fontId="15" fillId="0" borderId="25" xfId="0" applyNumberFormat="1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wrapText="1"/>
    </xf>
    <xf numFmtId="0" fontId="14" fillId="2" borderId="28" xfId="0" applyFont="1" applyFill="1" applyBorder="1" applyAlignment="1">
      <alignment horizontal="center"/>
    </xf>
    <xf numFmtId="0" fontId="14" fillId="0" borderId="26" xfId="0" applyFont="1" applyBorder="1" applyAlignment="1">
      <alignment wrapText="1"/>
    </xf>
    <xf numFmtId="0" fontId="14" fillId="0" borderId="28" xfId="0" applyFont="1" applyBorder="1" applyAlignment="1">
      <alignment horizontal="center" wrapText="1"/>
    </xf>
    <xf numFmtId="0" fontId="14" fillId="2" borderId="28" xfId="0" applyFont="1" applyFill="1" applyBorder="1" applyAlignment="1">
      <alignment horizontal="center" wrapText="1"/>
    </xf>
    <xf numFmtId="0" fontId="14" fillId="0" borderId="29" xfId="0" applyFont="1" applyBorder="1" applyAlignment="1">
      <alignment wrapText="1"/>
    </xf>
    <xf numFmtId="0" fontId="14" fillId="2" borderId="24" xfId="0" applyFont="1" applyFill="1" applyBorder="1" applyAlignment="1">
      <alignment horizontal="center" wrapText="1"/>
    </xf>
    <xf numFmtId="0" fontId="12" fillId="0" borderId="0" xfId="0" applyFont="1"/>
    <xf numFmtId="0" fontId="14" fillId="0" borderId="30" xfId="0" applyFont="1" applyBorder="1" applyAlignment="1">
      <alignment wrapText="1"/>
    </xf>
    <xf numFmtId="0" fontId="14" fillId="2" borderId="31" xfId="0" applyFont="1" applyFill="1" applyBorder="1" applyAlignment="1">
      <alignment horizontal="center" wrapText="1"/>
    </xf>
    <xf numFmtId="4" fontId="8" fillId="2" borderId="32" xfId="0" applyNumberFormat="1" applyFont="1" applyFill="1" applyBorder="1" applyAlignment="1">
      <alignment horizontal="center" vertical="center"/>
    </xf>
    <xf numFmtId="4" fontId="8" fillId="2" borderId="33" xfId="0" applyNumberFormat="1" applyFont="1" applyFill="1" applyBorder="1" applyAlignment="1">
      <alignment horizontal="center" vertical="center"/>
    </xf>
    <xf numFmtId="4" fontId="8" fillId="2" borderId="34" xfId="0" applyNumberFormat="1" applyFont="1" applyFill="1" applyBorder="1" applyAlignment="1">
      <alignment vertical="center"/>
    </xf>
    <xf numFmtId="4" fontId="8" fillId="2" borderId="35" xfId="0" applyNumberFormat="1" applyFont="1" applyFill="1" applyBorder="1" applyAlignment="1">
      <alignment vertical="center"/>
    </xf>
    <xf numFmtId="0" fontId="14" fillId="0" borderId="37" xfId="0" applyFont="1" applyBorder="1" applyAlignment="1">
      <alignment wrapText="1"/>
    </xf>
    <xf numFmtId="0" fontId="5" fillId="2" borderId="0" xfId="0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 vertical="top"/>
    </xf>
    <xf numFmtId="4" fontId="8" fillId="2" borderId="10" xfId="0" applyNumberFormat="1" applyFont="1" applyFill="1" applyBorder="1" applyAlignment="1">
      <alignment horizontal="center" vertical="top"/>
    </xf>
    <xf numFmtId="4" fontId="8" fillId="2" borderId="1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left" vertical="top" wrapText="1"/>
    </xf>
    <xf numFmtId="4" fontId="8" fillId="2" borderId="9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left" vertical="top"/>
    </xf>
    <xf numFmtId="4" fontId="8" fillId="2" borderId="17" xfId="0" applyNumberFormat="1" applyFont="1" applyFill="1" applyBorder="1" applyAlignment="1">
      <alignment horizontal="left" vertical="top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8" fillId="2" borderId="12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 wrapText="1"/>
    </xf>
    <xf numFmtId="4" fontId="9" fillId="2" borderId="19" xfId="0" applyNumberFormat="1" applyFont="1" applyFill="1" applyBorder="1" applyAlignment="1">
      <alignment horizontal="center" vertical="center" wrapText="1"/>
    </xf>
    <xf numFmtId="4" fontId="9" fillId="2" borderId="16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left" vertical="top"/>
    </xf>
    <xf numFmtId="4" fontId="8" fillId="2" borderId="8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16" fillId="2" borderId="22" xfId="0" applyNumberFormat="1" applyFont="1" applyFill="1" applyBorder="1" applyAlignment="1">
      <alignment horizontal="center" vertical="center" wrapText="1"/>
    </xf>
    <xf numFmtId="4" fontId="16" fillId="2" borderId="27" xfId="0" applyNumberFormat="1" applyFont="1" applyFill="1" applyBorder="1" applyAlignment="1">
      <alignment horizontal="center" vertical="center" wrapText="1"/>
    </xf>
    <xf numFmtId="4" fontId="4" fillId="2" borderId="36" xfId="0" applyNumberFormat="1" applyFont="1" applyFill="1" applyBorder="1" applyAlignment="1">
      <alignment horizontal="center" vertical="center" wrapText="1"/>
    </xf>
    <xf numFmtId="4" fontId="4" fillId="2" borderId="38" xfId="0" applyNumberFormat="1" applyFont="1" applyFill="1" applyBorder="1" applyAlignment="1">
      <alignment horizontal="center" vertical="center" wrapText="1"/>
    </xf>
    <xf numFmtId="4" fontId="8" fillId="2" borderId="20" xfId="0" applyNumberFormat="1" applyFont="1" applyFill="1" applyBorder="1" applyAlignment="1">
      <alignment horizontal="center" vertical="center"/>
    </xf>
    <xf numFmtId="4" fontId="8" fillId="2" borderId="21" xfId="0" applyNumberFormat="1" applyFont="1" applyFill="1" applyBorder="1" applyAlignment="1">
      <alignment horizontal="center" vertical="center"/>
    </xf>
    <xf numFmtId="4" fontId="17" fillId="2" borderId="18" xfId="0" applyNumberFormat="1" applyFont="1" applyFill="1" applyBorder="1" applyAlignment="1">
      <alignment horizontal="center" vertical="center" wrapText="1"/>
    </xf>
    <xf numFmtId="4" fontId="17" fillId="2" borderId="19" xfId="0" applyNumberFormat="1" applyFont="1" applyFill="1" applyBorder="1" applyAlignment="1">
      <alignment horizontal="center" vertical="center" wrapText="1"/>
    </xf>
    <xf numFmtId="4" fontId="17" fillId="2" borderId="16" xfId="0" applyNumberFormat="1" applyFont="1" applyFill="1" applyBorder="1" applyAlignment="1">
      <alignment horizontal="center" vertical="center" wrapText="1"/>
    </xf>
    <xf numFmtId="4" fontId="16" fillId="2" borderId="18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6"/>
  <sheetViews>
    <sheetView tabSelected="1" view="pageBreakPreview" topLeftCell="A22" zoomScale="90" zoomScaleNormal="100" zoomScaleSheetLayoutView="90" workbookViewId="0">
      <selection sqref="A1:AR36"/>
    </sheetView>
  </sheetViews>
  <sheetFormatPr defaultRowHeight="12.75" x14ac:dyDescent="0.2"/>
  <cols>
    <col min="1" max="1" width="9.140625" style="6" customWidth="1"/>
    <col min="2" max="5" width="9.140625" style="6"/>
    <col min="6" max="6" width="20.7109375" style="6" customWidth="1"/>
    <col min="7" max="7" width="19.5703125" style="6" customWidth="1"/>
    <col min="8" max="8" width="11.42578125" style="7" customWidth="1"/>
    <col min="9" max="9" width="9.28515625" style="7" customWidth="1"/>
    <col min="10" max="10" width="9.140625" style="7" customWidth="1"/>
    <col min="11" max="11" width="9" style="7" customWidth="1"/>
    <col min="12" max="12" width="8.85546875" style="9" customWidth="1"/>
    <col min="13" max="13" width="9.140625" style="9" customWidth="1"/>
    <col min="14" max="14" width="8.28515625" style="9" customWidth="1"/>
    <col min="15" max="15" width="9.140625" style="9" customWidth="1"/>
    <col min="16" max="16" width="9.42578125" style="9" customWidth="1"/>
    <col min="17" max="17" width="9.7109375" style="9" customWidth="1"/>
    <col min="18" max="18" width="10" style="9" customWidth="1"/>
    <col min="19" max="19" width="9.140625" style="9" customWidth="1"/>
    <col min="20" max="20" width="10.140625" style="9" customWidth="1"/>
    <col min="21" max="21" width="19.28515625" style="6" customWidth="1"/>
    <col min="22" max="22" width="14.28515625" style="9" customWidth="1"/>
    <col min="23" max="26" width="9.28515625" style="9" customWidth="1"/>
    <col min="27" max="27" width="19.5703125" style="6" customWidth="1"/>
    <col min="28" max="28" width="12.5703125" style="6" customWidth="1"/>
    <col min="29" max="30" width="9.28515625" style="6" customWidth="1"/>
    <col min="31" max="31" width="8.85546875" style="6" customWidth="1"/>
    <col min="32" max="32" width="8.7109375" style="6" customWidth="1"/>
    <col min="33" max="33" width="8.42578125" style="6" customWidth="1"/>
    <col min="34" max="34" width="8.7109375" style="6" customWidth="1"/>
    <col min="35" max="35" width="9.140625" style="6" customWidth="1"/>
    <col min="36" max="36" width="9.42578125" style="6" customWidth="1"/>
    <col min="37" max="38" width="9.85546875" style="6" customWidth="1"/>
    <col min="39" max="39" width="19.5703125" style="6" customWidth="1"/>
    <col min="40" max="40" width="13.7109375" style="9" customWidth="1"/>
    <col min="41" max="41" width="8.140625" style="6" customWidth="1"/>
    <col min="42" max="42" width="8.28515625" style="6" customWidth="1"/>
    <col min="43" max="43" width="8.140625" style="6" customWidth="1"/>
    <col min="44" max="44" width="13.28515625" customWidth="1"/>
    <col min="45" max="45" width="13.5703125" customWidth="1"/>
  </cols>
  <sheetData>
    <row r="1" spans="1:55" s="1" customFormat="1" ht="16.5" customHeight="1" x14ac:dyDescent="0.25">
      <c r="A1" s="71" t="s">
        <v>25</v>
      </c>
      <c r="B1" s="71"/>
      <c r="C1" s="71"/>
      <c r="D1" s="71"/>
      <c r="E1" s="71"/>
      <c r="F1" s="71"/>
      <c r="G1" s="71"/>
      <c r="H1" s="7"/>
      <c r="I1" s="43"/>
      <c r="J1" s="63" t="s">
        <v>102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9"/>
      <c r="V1" s="3"/>
      <c r="W1" s="3"/>
      <c r="X1" s="3"/>
      <c r="Y1" s="3"/>
      <c r="Z1" s="3"/>
      <c r="AA1" s="3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3"/>
      <c r="AN1" s="25"/>
      <c r="AO1" s="6"/>
      <c r="AP1" s="6"/>
      <c r="AQ1" s="6"/>
    </row>
    <row r="2" spans="1:55" s="1" customFormat="1" ht="16.5" customHeight="1" x14ac:dyDescent="0.25">
      <c r="A2" s="71" t="s">
        <v>24</v>
      </c>
      <c r="B2" s="71"/>
      <c r="C2" s="71"/>
      <c r="D2" s="71"/>
      <c r="E2" s="71"/>
      <c r="F2" s="71"/>
      <c r="G2" s="71"/>
      <c r="H2" s="7"/>
      <c r="I2" s="44"/>
      <c r="J2" s="63" t="s">
        <v>103</v>
      </c>
      <c r="K2" s="26"/>
      <c r="L2" s="26"/>
      <c r="M2" s="26"/>
      <c r="N2" s="26"/>
      <c r="O2" s="26"/>
      <c r="P2" s="26"/>
      <c r="Q2" s="26"/>
      <c r="R2" s="26"/>
      <c r="S2" s="26"/>
      <c r="T2" s="26"/>
      <c r="U2" s="9"/>
      <c r="V2" s="4"/>
      <c r="W2" s="4"/>
      <c r="X2" s="4"/>
      <c r="Y2" s="4"/>
      <c r="Z2" s="4"/>
      <c r="AA2" s="4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4"/>
      <c r="AN2" s="26"/>
      <c r="AO2" s="6"/>
      <c r="AP2" s="6"/>
      <c r="AQ2" s="6"/>
    </row>
    <row r="3" spans="1:55" s="1" customFormat="1" ht="16.5" customHeight="1" x14ac:dyDescent="0.25">
      <c r="A3" s="71" t="s">
        <v>23</v>
      </c>
      <c r="B3" s="71"/>
      <c r="C3" s="71"/>
      <c r="D3" s="71"/>
      <c r="E3" s="71"/>
      <c r="F3" s="71"/>
      <c r="G3" s="71"/>
      <c r="H3" s="7"/>
      <c r="I3" s="44"/>
      <c r="J3" s="63" t="s">
        <v>104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9"/>
      <c r="V3" s="4"/>
      <c r="W3" s="4"/>
      <c r="X3" s="4"/>
      <c r="Y3" s="4"/>
      <c r="Z3" s="4"/>
      <c r="AA3" s="4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4"/>
      <c r="AN3" s="25"/>
      <c r="AO3" s="6"/>
      <c r="AP3" s="6"/>
      <c r="AQ3" s="6"/>
    </row>
    <row r="4" spans="1:55" s="1" customFormat="1" ht="16.5" customHeight="1" x14ac:dyDescent="0.2">
      <c r="A4" s="71" t="s">
        <v>22</v>
      </c>
      <c r="B4" s="71"/>
      <c r="C4" s="71"/>
      <c r="D4" s="71"/>
      <c r="E4" s="71"/>
      <c r="F4" s="71"/>
      <c r="G4" s="71"/>
      <c r="H4" s="7"/>
      <c r="I4" s="7"/>
      <c r="J4" s="7"/>
      <c r="K4" s="7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9"/>
      <c r="AN4" s="9"/>
      <c r="AO4" s="6"/>
      <c r="AP4" s="6"/>
      <c r="AQ4" s="6"/>
    </row>
    <row r="5" spans="1:55" s="1" customFormat="1" x14ac:dyDescent="0.2">
      <c r="A5" s="5" t="s">
        <v>55</v>
      </c>
      <c r="B5" s="5" t="s">
        <v>56</v>
      </c>
      <c r="C5" s="6"/>
      <c r="D5" s="6"/>
      <c r="E5" s="6"/>
      <c r="F5" s="6"/>
      <c r="G5" s="6"/>
      <c r="H5" s="7"/>
      <c r="I5" s="7"/>
      <c r="J5" s="7"/>
      <c r="K5" s="7"/>
      <c r="L5" s="9"/>
      <c r="M5" s="9"/>
      <c r="N5" s="9"/>
      <c r="O5" s="9"/>
      <c r="P5" s="9"/>
      <c r="Q5" s="9"/>
      <c r="R5" s="9"/>
      <c r="S5" s="9"/>
      <c r="T5" s="9"/>
      <c r="U5" s="6"/>
      <c r="V5" s="9"/>
      <c r="W5" s="9"/>
      <c r="X5" s="9"/>
      <c r="Y5" s="9"/>
      <c r="Z5" s="9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9"/>
      <c r="AO5" s="6"/>
      <c r="AP5" s="6"/>
      <c r="AQ5" s="6"/>
    </row>
    <row r="6" spans="1:55" s="1" customFormat="1" ht="15.75" customHeight="1" x14ac:dyDescent="0.2">
      <c r="A6" s="87" t="s">
        <v>21</v>
      </c>
      <c r="B6" s="88"/>
      <c r="C6" s="88"/>
      <c r="D6" s="88"/>
      <c r="E6" s="88"/>
      <c r="F6" s="88"/>
      <c r="G6" s="104" t="s">
        <v>20</v>
      </c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87" t="s">
        <v>20</v>
      </c>
      <c r="AD6" s="88"/>
      <c r="AE6" s="88"/>
      <c r="AF6" s="88"/>
      <c r="AG6" s="88"/>
      <c r="AH6" s="88"/>
      <c r="AI6" s="88"/>
      <c r="AJ6" s="88"/>
      <c r="AK6" s="88"/>
      <c r="AL6" s="88"/>
      <c r="AM6" s="66"/>
      <c r="AN6" s="67"/>
      <c r="AO6" s="68"/>
      <c r="AP6" s="68"/>
      <c r="AQ6" s="69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55" s="10" customFormat="1" ht="56.25" customHeight="1" x14ac:dyDescent="0.2">
      <c r="A7" s="89"/>
      <c r="B7" s="90"/>
      <c r="C7" s="90"/>
      <c r="D7" s="90"/>
      <c r="E7" s="90"/>
      <c r="F7" s="90"/>
      <c r="G7" s="91" t="s">
        <v>19</v>
      </c>
      <c r="H7" s="106" t="s">
        <v>46</v>
      </c>
      <c r="I7" s="56" t="s">
        <v>57</v>
      </c>
      <c r="J7" s="56" t="s">
        <v>57</v>
      </c>
      <c r="K7" s="56" t="s">
        <v>58</v>
      </c>
      <c r="L7" s="56" t="s">
        <v>58</v>
      </c>
      <c r="M7" s="56" t="s">
        <v>59</v>
      </c>
      <c r="N7" s="56" t="s">
        <v>59</v>
      </c>
      <c r="O7" s="56" t="s">
        <v>80</v>
      </c>
      <c r="P7" s="56" t="s">
        <v>80</v>
      </c>
      <c r="Q7" s="56" t="s">
        <v>80</v>
      </c>
      <c r="R7" s="56" t="s">
        <v>60</v>
      </c>
      <c r="S7" s="56" t="s">
        <v>61</v>
      </c>
      <c r="T7" s="56" t="s">
        <v>81</v>
      </c>
      <c r="U7" s="92" t="s">
        <v>19</v>
      </c>
      <c r="V7" s="107" t="s">
        <v>47</v>
      </c>
      <c r="W7" s="58" t="s">
        <v>57</v>
      </c>
      <c r="X7" s="58" t="s">
        <v>57</v>
      </c>
      <c r="Y7" s="58" t="s">
        <v>57</v>
      </c>
      <c r="Z7" s="58" t="s">
        <v>62</v>
      </c>
      <c r="AA7" s="91" t="s">
        <v>19</v>
      </c>
      <c r="AB7" s="109" t="s">
        <v>53</v>
      </c>
      <c r="AC7" s="61" t="s">
        <v>57</v>
      </c>
      <c r="AD7" s="61" t="s">
        <v>57</v>
      </c>
      <c r="AE7" s="61" t="s">
        <v>57</v>
      </c>
      <c r="AF7" s="61" t="s">
        <v>58</v>
      </c>
      <c r="AG7" s="61" t="s">
        <v>58</v>
      </c>
      <c r="AH7" s="61" t="s">
        <v>59</v>
      </c>
      <c r="AI7" s="61" t="s">
        <v>59</v>
      </c>
      <c r="AJ7" s="61" t="s">
        <v>60</v>
      </c>
      <c r="AK7" s="61" t="s">
        <v>61</v>
      </c>
      <c r="AL7" s="64" t="s">
        <v>62</v>
      </c>
      <c r="AM7" s="102" t="s">
        <v>19</v>
      </c>
      <c r="AN7" s="100" t="s">
        <v>54</v>
      </c>
      <c r="AO7" s="58" t="s">
        <v>57</v>
      </c>
      <c r="AP7" s="58" t="s">
        <v>62</v>
      </c>
      <c r="AQ7" s="70" t="s">
        <v>99</v>
      </c>
    </row>
    <row r="8" spans="1:55" s="10" customFormat="1" ht="22.5" x14ac:dyDescent="0.2">
      <c r="A8" s="89"/>
      <c r="B8" s="90"/>
      <c r="C8" s="90"/>
      <c r="D8" s="90"/>
      <c r="E8" s="90"/>
      <c r="F8" s="90"/>
      <c r="G8" s="91"/>
      <c r="H8" s="106"/>
      <c r="I8" s="57">
        <v>21</v>
      </c>
      <c r="J8" s="57" t="s">
        <v>82</v>
      </c>
      <c r="K8" s="57" t="s">
        <v>83</v>
      </c>
      <c r="L8" s="57" t="s">
        <v>84</v>
      </c>
      <c r="M8" s="57" t="s">
        <v>85</v>
      </c>
      <c r="N8" s="57">
        <v>39</v>
      </c>
      <c r="O8" s="57">
        <v>4</v>
      </c>
      <c r="P8" s="57">
        <v>32</v>
      </c>
      <c r="Q8" s="57">
        <v>39</v>
      </c>
      <c r="R8" s="57">
        <v>4</v>
      </c>
      <c r="S8" s="57" t="s">
        <v>86</v>
      </c>
      <c r="T8" s="57">
        <v>53</v>
      </c>
      <c r="U8" s="93"/>
      <c r="V8" s="108"/>
      <c r="W8" s="59" t="s">
        <v>75</v>
      </c>
      <c r="X8" s="59">
        <v>6</v>
      </c>
      <c r="Y8" s="59">
        <v>8</v>
      </c>
      <c r="Z8" s="60">
        <v>59</v>
      </c>
      <c r="AA8" s="91"/>
      <c r="AB8" s="109"/>
      <c r="AC8" s="59" t="s">
        <v>63</v>
      </c>
      <c r="AD8" s="59" t="s">
        <v>64</v>
      </c>
      <c r="AE8" s="60">
        <v>26</v>
      </c>
      <c r="AF8" s="60" t="s">
        <v>65</v>
      </c>
      <c r="AG8" s="60" t="s">
        <v>66</v>
      </c>
      <c r="AH8" s="60" t="s">
        <v>67</v>
      </c>
      <c r="AI8" s="60">
        <v>43</v>
      </c>
      <c r="AJ8" s="60">
        <v>10</v>
      </c>
      <c r="AK8" s="60">
        <v>63</v>
      </c>
      <c r="AL8" s="65">
        <v>56</v>
      </c>
      <c r="AM8" s="103"/>
      <c r="AN8" s="101"/>
      <c r="AO8" s="60">
        <v>24</v>
      </c>
      <c r="AP8" s="60" t="s">
        <v>100</v>
      </c>
      <c r="AQ8" s="62">
        <v>75</v>
      </c>
    </row>
    <row r="9" spans="1:55" s="1" customFormat="1" x14ac:dyDescent="0.2">
      <c r="A9" s="72" t="s">
        <v>18</v>
      </c>
      <c r="B9" s="73"/>
      <c r="C9" s="73"/>
      <c r="D9" s="73"/>
      <c r="E9" s="73"/>
      <c r="F9" s="74"/>
      <c r="G9" s="34"/>
      <c r="H9" s="18">
        <f t="shared" ref="H9" si="0">SUM(H10:H13)</f>
        <v>0</v>
      </c>
      <c r="I9" s="18">
        <f t="shared" ref="I9" si="1">SUM(I10:I13)</f>
        <v>0</v>
      </c>
      <c r="J9" s="18">
        <f t="shared" ref="J9:L9" si="2">SUM(J10:J13)</f>
        <v>0</v>
      </c>
      <c r="K9" s="18">
        <f t="shared" si="2"/>
        <v>0</v>
      </c>
      <c r="L9" s="18">
        <f t="shared" si="2"/>
        <v>0</v>
      </c>
      <c r="M9" s="18">
        <f t="shared" ref="M9:N9" si="3">SUM(M10:M13)</f>
        <v>0</v>
      </c>
      <c r="N9" s="18">
        <f t="shared" si="3"/>
        <v>0</v>
      </c>
      <c r="O9" s="18">
        <f t="shared" ref="O9:R9" si="4">SUM(O10:O13)</f>
        <v>0</v>
      </c>
      <c r="P9" s="18">
        <f t="shared" si="4"/>
        <v>0</v>
      </c>
      <c r="Q9" s="18">
        <f t="shared" si="4"/>
        <v>0</v>
      </c>
      <c r="R9" s="18">
        <f t="shared" si="4"/>
        <v>0</v>
      </c>
      <c r="S9" s="18">
        <f t="shared" ref="S9:T9" si="5">SUM(S10:S13)</f>
        <v>0</v>
      </c>
      <c r="T9" s="18">
        <f t="shared" si="5"/>
        <v>0</v>
      </c>
      <c r="U9" s="17"/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34"/>
      <c r="AB9" s="30">
        <f t="shared" ref="AB9" si="6">SUM(AB10:AB13)</f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34"/>
      <c r="AN9" s="39">
        <f t="shared" ref="AN9" si="7">SUM(AN10:AN13)</f>
        <v>0</v>
      </c>
      <c r="AO9" s="18">
        <v>0</v>
      </c>
      <c r="AP9" s="18">
        <v>0</v>
      </c>
      <c r="AQ9" s="18">
        <v>0</v>
      </c>
    </row>
    <row r="10" spans="1:55" s="1" customFormat="1" x14ac:dyDescent="0.2">
      <c r="A10" s="82" t="s">
        <v>26</v>
      </c>
      <c r="B10" s="82"/>
      <c r="C10" s="82"/>
      <c r="D10" s="82"/>
      <c r="E10" s="82"/>
      <c r="F10" s="82"/>
      <c r="G10" s="13" t="s">
        <v>11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 t="s">
        <v>11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 t="s">
        <v>11</v>
      </c>
      <c r="AB10" s="28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 t="s">
        <v>11</v>
      </c>
      <c r="AN10" s="40">
        <v>0</v>
      </c>
      <c r="AO10" s="13">
        <v>0</v>
      </c>
      <c r="AP10" s="13">
        <v>0</v>
      </c>
      <c r="AQ10" s="13">
        <v>0</v>
      </c>
    </row>
    <row r="11" spans="1:55" s="1" customFormat="1" x14ac:dyDescent="0.2">
      <c r="A11" s="82" t="s">
        <v>27</v>
      </c>
      <c r="B11" s="82"/>
      <c r="C11" s="82"/>
      <c r="D11" s="82"/>
      <c r="E11" s="82"/>
      <c r="F11" s="82"/>
      <c r="G11" s="13" t="s">
        <v>11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 t="s">
        <v>11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 t="s">
        <v>11</v>
      </c>
      <c r="AB11" s="28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 t="s">
        <v>11</v>
      </c>
      <c r="AN11" s="40">
        <v>0</v>
      </c>
      <c r="AO11" s="13">
        <v>0</v>
      </c>
      <c r="AP11" s="13">
        <v>0</v>
      </c>
      <c r="AQ11" s="13">
        <v>0</v>
      </c>
    </row>
    <row r="12" spans="1:55" s="1" customFormat="1" x14ac:dyDescent="0.2">
      <c r="A12" s="82" t="s">
        <v>17</v>
      </c>
      <c r="B12" s="82"/>
      <c r="C12" s="82"/>
      <c r="D12" s="82"/>
      <c r="E12" s="82"/>
      <c r="F12" s="82"/>
      <c r="G12" s="13" t="s">
        <v>11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 t="s">
        <v>11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 t="s">
        <v>11</v>
      </c>
      <c r="AB12" s="28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 t="s">
        <v>11</v>
      </c>
      <c r="AN12" s="40">
        <v>0</v>
      </c>
      <c r="AO12" s="13">
        <v>0</v>
      </c>
      <c r="AP12" s="13">
        <v>0</v>
      </c>
      <c r="AQ12" s="13">
        <v>0</v>
      </c>
    </row>
    <row r="13" spans="1:55" s="1" customFormat="1" x14ac:dyDescent="0.2">
      <c r="A13" s="82" t="s">
        <v>16</v>
      </c>
      <c r="B13" s="82"/>
      <c r="C13" s="82"/>
      <c r="D13" s="82"/>
      <c r="E13" s="82"/>
      <c r="F13" s="82"/>
      <c r="G13" s="13" t="s">
        <v>15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 t="s">
        <v>15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 t="s">
        <v>15</v>
      </c>
      <c r="AB13" s="28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 t="s">
        <v>15</v>
      </c>
      <c r="AN13" s="40">
        <v>0</v>
      </c>
      <c r="AO13" s="13">
        <v>0</v>
      </c>
      <c r="AP13" s="13">
        <v>0</v>
      </c>
      <c r="AQ13" s="13">
        <v>0</v>
      </c>
    </row>
    <row r="14" spans="1:55" s="1" customFormat="1" ht="23.85" customHeight="1" x14ac:dyDescent="0.2">
      <c r="A14" s="84" t="s">
        <v>14</v>
      </c>
      <c r="B14" s="85"/>
      <c r="C14" s="85"/>
      <c r="D14" s="85"/>
      <c r="E14" s="85"/>
      <c r="F14" s="86"/>
      <c r="G14" s="12"/>
      <c r="H14" s="11">
        <f t="shared" ref="H14" si="8">SUM(H15:H21)</f>
        <v>4.6500000000000004</v>
      </c>
      <c r="I14" s="11">
        <f t="shared" ref="I14:K14" si="9">SUM(I15:I21)</f>
        <v>42318.720000000001</v>
      </c>
      <c r="J14" s="11">
        <f t="shared" si="9"/>
        <v>43027.380000000005</v>
      </c>
      <c r="K14" s="11">
        <f t="shared" si="9"/>
        <v>22336.74</v>
      </c>
      <c r="L14" s="11">
        <f t="shared" ref="L14:M14" si="10">SUM(L15:L21)</f>
        <v>33993.360000000001</v>
      </c>
      <c r="M14" s="11">
        <f t="shared" si="10"/>
        <v>33842.699999999997</v>
      </c>
      <c r="N14" s="11">
        <f t="shared" ref="N14:Q14" si="11">SUM(N15:N21)</f>
        <v>19178.46</v>
      </c>
      <c r="O14" s="11">
        <f t="shared" si="11"/>
        <v>32888.520000000004</v>
      </c>
      <c r="P14" s="11">
        <f t="shared" si="11"/>
        <v>22559.940000000002</v>
      </c>
      <c r="Q14" s="11">
        <f t="shared" si="11"/>
        <v>29172.239999999998</v>
      </c>
      <c r="R14" s="11">
        <f t="shared" ref="R14:T14" si="12">SUM(R15:R21)</f>
        <v>19078.019999999997</v>
      </c>
      <c r="S14" s="11">
        <f t="shared" si="12"/>
        <v>41476.14</v>
      </c>
      <c r="T14" s="11">
        <f t="shared" si="12"/>
        <v>22520.880000000001</v>
      </c>
      <c r="U14" s="12"/>
      <c r="V14" s="11">
        <v>11.129999999999999</v>
      </c>
      <c r="W14" s="11">
        <f t="shared" ref="W14:X14" si="13">SUM(W15:W21)</f>
        <v>69838.52399999999</v>
      </c>
      <c r="X14" s="11">
        <f t="shared" si="13"/>
        <v>43740.900000000009</v>
      </c>
      <c r="Y14" s="11">
        <f t="shared" ref="Y14:Z14" si="14">SUM(Y15:Y21)</f>
        <v>95655.672000000006</v>
      </c>
      <c r="Z14" s="11">
        <f t="shared" si="14"/>
        <v>52769.556000000004</v>
      </c>
      <c r="AA14" s="12"/>
      <c r="AB14" s="27">
        <f t="shared" ref="AB14" si="15">SUM(AB15:AB21)</f>
        <v>5.0999999999999996</v>
      </c>
      <c r="AC14" s="11">
        <f t="shared" ref="AC14" si="16">SUM(AC15:AC21)</f>
        <v>43733.520000000004</v>
      </c>
      <c r="AD14" s="11">
        <f t="shared" ref="AD14:AE14" si="17">SUM(AD15:AD21)</f>
        <v>31426.2</v>
      </c>
      <c r="AE14" s="11">
        <f t="shared" si="17"/>
        <v>24786</v>
      </c>
      <c r="AF14" s="11">
        <f t="shared" ref="AF14:AI14" si="18">SUM(AF15:AF21)</f>
        <v>31885.199999999997</v>
      </c>
      <c r="AG14" s="11">
        <f t="shared" si="18"/>
        <v>31983.120000000003</v>
      </c>
      <c r="AH14" s="11">
        <f t="shared" si="18"/>
        <v>22472.639999999999</v>
      </c>
      <c r="AI14" s="11">
        <f t="shared" si="18"/>
        <v>43684.56</v>
      </c>
      <c r="AJ14" s="11">
        <f t="shared" ref="AJ14:AL14" si="19">SUM(AJ15:AJ21)</f>
        <v>20948.760000000002</v>
      </c>
      <c r="AK14" s="11">
        <f t="shared" si="19"/>
        <v>33011.279999999999</v>
      </c>
      <c r="AL14" s="11">
        <f t="shared" si="19"/>
        <v>32436</v>
      </c>
      <c r="AM14" s="12"/>
      <c r="AN14" s="31">
        <f t="shared" ref="AN14:AP14" si="20">SUM(AN15:AN21)</f>
        <v>5.0999999999999996</v>
      </c>
      <c r="AO14" s="11">
        <f t="shared" si="20"/>
        <v>32411.52</v>
      </c>
      <c r="AP14" s="11">
        <f t="shared" si="20"/>
        <v>37283.040000000008</v>
      </c>
      <c r="AQ14" s="11">
        <f t="shared" ref="AQ14" si="21">SUM(AQ15:AQ21)</f>
        <v>37393.199999999997</v>
      </c>
    </row>
    <row r="15" spans="1:55" s="1" customFormat="1" x14ac:dyDescent="0.2">
      <c r="A15" s="82" t="s">
        <v>40</v>
      </c>
      <c r="B15" s="82"/>
      <c r="C15" s="82"/>
      <c r="D15" s="82"/>
      <c r="E15" s="82"/>
      <c r="F15" s="82"/>
      <c r="G15" s="13" t="s">
        <v>41</v>
      </c>
      <c r="H15" s="13">
        <v>1.08</v>
      </c>
      <c r="I15" s="13">
        <f>1.08*12*I35</f>
        <v>9828.8639999999996</v>
      </c>
      <c r="J15" s="13">
        <f t="shared" ref="J15:K15" si="22">1.08*12*J35</f>
        <v>9993.4560000000001</v>
      </c>
      <c r="K15" s="13">
        <f t="shared" si="22"/>
        <v>5187.8880000000008</v>
      </c>
      <c r="L15" s="13">
        <f t="shared" ref="L15:T15" si="23">1.08*12*L35</f>
        <v>7895.2320000000009</v>
      </c>
      <c r="M15" s="13">
        <f t="shared" si="23"/>
        <v>7860.2400000000007</v>
      </c>
      <c r="N15" s="13">
        <f t="shared" si="23"/>
        <v>4454.3519999999999</v>
      </c>
      <c r="O15" s="13">
        <f t="shared" si="23"/>
        <v>7638.6239999999998</v>
      </c>
      <c r="P15" s="13">
        <f t="shared" si="23"/>
        <v>5239.7280000000001</v>
      </c>
      <c r="Q15" s="13">
        <f t="shared" si="23"/>
        <v>6775.4880000000003</v>
      </c>
      <c r="R15" s="13">
        <f t="shared" si="23"/>
        <v>4431.0240000000003</v>
      </c>
      <c r="S15" s="13">
        <f t="shared" si="23"/>
        <v>9633.1679999999997</v>
      </c>
      <c r="T15" s="13">
        <f t="shared" si="23"/>
        <v>5230.6560000000009</v>
      </c>
      <c r="U15" s="13" t="s">
        <v>41</v>
      </c>
      <c r="V15" s="13">
        <v>0.95</v>
      </c>
      <c r="W15" s="13">
        <f t="shared" ref="W15:Z15" si="24">0.95*12*W35</f>
        <v>5961.0599999999986</v>
      </c>
      <c r="X15" s="13">
        <f t="shared" si="24"/>
        <v>3733.4999999999995</v>
      </c>
      <c r="Y15" s="13">
        <f t="shared" si="24"/>
        <v>8164.6799999999994</v>
      </c>
      <c r="Z15" s="13">
        <f t="shared" si="24"/>
        <v>4504.1399999999994</v>
      </c>
      <c r="AA15" s="13" t="s">
        <v>41</v>
      </c>
      <c r="AB15" s="28">
        <v>1.04</v>
      </c>
      <c r="AC15" s="13">
        <f t="shared" ref="AC15:AL15" si="25">1.04*12*AC35</f>
        <v>8918.2080000000005</v>
      </c>
      <c r="AD15" s="13">
        <f t="shared" si="25"/>
        <v>6408.4800000000005</v>
      </c>
      <c r="AE15" s="13">
        <f t="shared" si="25"/>
        <v>5054.4000000000005</v>
      </c>
      <c r="AF15" s="13">
        <f t="shared" si="25"/>
        <v>6502.08</v>
      </c>
      <c r="AG15" s="13">
        <f t="shared" si="25"/>
        <v>6522.0480000000007</v>
      </c>
      <c r="AH15" s="13">
        <f t="shared" si="25"/>
        <v>4582.6559999999999</v>
      </c>
      <c r="AI15" s="13">
        <f t="shared" si="25"/>
        <v>8908.2240000000002</v>
      </c>
      <c r="AJ15" s="13">
        <f t="shared" si="25"/>
        <v>4271.9040000000005</v>
      </c>
      <c r="AK15" s="13">
        <f t="shared" si="25"/>
        <v>6731.7119999999995</v>
      </c>
      <c r="AL15" s="13">
        <f t="shared" si="25"/>
        <v>6614.4000000000005</v>
      </c>
      <c r="AM15" s="13" t="s">
        <v>41</v>
      </c>
      <c r="AN15" s="40">
        <v>1.04</v>
      </c>
      <c r="AO15" s="13">
        <f t="shared" ref="AO15:AP15" si="26">1.04*12*AO35</f>
        <v>6609.4080000000004</v>
      </c>
      <c r="AP15" s="13">
        <f t="shared" si="26"/>
        <v>7602.8160000000007</v>
      </c>
      <c r="AQ15" s="13">
        <f t="shared" ref="AQ15" si="27">1.04*12*AQ35</f>
        <v>7625.2800000000007</v>
      </c>
    </row>
    <row r="16" spans="1:55" s="1" customFormat="1" x14ac:dyDescent="0.2">
      <c r="A16" s="82" t="s">
        <v>31</v>
      </c>
      <c r="B16" s="82"/>
      <c r="C16" s="82"/>
      <c r="D16" s="82"/>
      <c r="E16" s="82"/>
      <c r="F16" s="82"/>
      <c r="G16" s="13" t="s">
        <v>13</v>
      </c>
      <c r="H16" s="13">
        <v>0.41</v>
      </c>
      <c r="I16" s="13">
        <f>0.41*12*I35</f>
        <v>3731.328</v>
      </c>
      <c r="J16" s="13">
        <f t="shared" ref="J16:K16" si="28">0.41*12*J35</f>
        <v>3793.8119999999999</v>
      </c>
      <c r="K16" s="13">
        <f t="shared" si="28"/>
        <v>1969.4760000000001</v>
      </c>
      <c r="L16" s="13">
        <f t="shared" ref="L16:T16" si="29">0.41*12*L35</f>
        <v>2997.2640000000001</v>
      </c>
      <c r="M16" s="13">
        <f t="shared" si="29"/>
        <v>2983.98</v>
      </c>
      <c r="N16" s="13">
        <f t="shared" si="29"/>
        <v>1691.0039999999999</v>
      </c>
      <c r="O16" s="13">
        <f t="shared" si="29"/>
        <v>2899.848</v>
      </c>
      <c r="P16" s="13">
        <f t="shared" si="29"/>
        <v>1989.1559999999999</v>
      </c>
      <c r="Q16" s="13">
        <f t="shared" si="29"/>
        <v>2572.1759999999999</v>
      </c>
      <c r="R16" s="13">
        <f t="shared" si="29"/>
        <v>1682.1479999999999</v>
      </c>
      <c r="S16" s="13">
        <f t="shared" si="29"/>
        <v>3657.0359999999996</v>
      </c>
      <c r="T16" s="13">
        <f t="shared" si="29"/>
        <v>1985.712</v>
      </c>
      <c r="U16" s="13" t="s">
        <v>13</v>
      </c>
      <c r="V16" s="13">
        <v>0.89</v>
      </c>
      <c r="W16" s="13">
        <f t="shared" ref="W16:Z16" si="30">0.89*12*W35</f>
        <v>5584.5719999999992</v>
      </c>
      <c r="X16" s="13">
        <f t="shared" si="30"/>
        <v>3497.7</v>
      </c>
      <c r="Y16" s="13">
        <f t="shared" si="30"/>
        <v>7649.0160000000005</v>
      </c>
      <c r="Z16" s="13">
        <f t="shared" si="30"/>
        <v>4219.6680000000006</v>
      </c>
      <c r="AA16" s="13" t="s">
        <v>13</v>
      </c>
      <c r="AB16" s="28">
        <v>0.95</v>
      </c>
      <c r="AC16" s="13">
        <f t="shared" ref="AC16:AL16" si="31">0.95*12*AC35</f>
        <v>8146.44</v>
      </c>
      <c r="AD16" s="13">
        <f t="shared" si="31"/>
        <v>5853.9</v>
      </c>
      <c r="AE16" s="13">
        <f t="shared" si="31"/>
        <v>4616.9999999999991</v>
      </c>
      <c r="AF16" s="13">
        <f t="shared" si="31"/>
        <v>5939.4</v>
      </c>
      <c r="AG16" s="13">
        <f t="shared" si="31"/>
        <v>5957.6399999999994</v>
      </c>
      <c r="AH16" s="13">
        <f t="shared" si="31"/>
        <v>4186.079999999999</v>
      </c>
      <c r="AI16" s="13">
        <f t="shared" si="31"/>
        <v>8137.3199999999988</v>
      </c>
      <c r="AJ16" s="13">
        <f t="shared" si="31"/>
        <v>3902.22</v>
      </c>
      <c r="AK16" s="13">
        <f t="shared" si="31"/>
        <v>6149.1599999999989</v>
      </c>
      <c r="AL16" s="13">
        <f t="shared" si="31"/>
        <v>6041.9999999999991</v>
      </c>
      <c r="AM16" s="13" t="s">
        <v>13</v>
      </c>
      <c r="AN16" s="40">
        <v>0.95</v>
      </c>
      <c r="AO16" s="13">
        <f t="shared" ref="AO16:AP16" si="32">0.95*12*AO35</f>
        <v>6037.44</v>
      </c>
      <c r="AP16" s="13">
        <f t="shared" si="32"/>
        <v>6944.8799999999992</v>
      </c>
      <c r="AQ16" s="13">
        <f t="shared" ref="AQ16" si="33">0.95*12*AQ35</f>
        <v>6965.3999999999987</v>
      </c>
    </row>
    <row r="17" spans="1:43" s="1" customFormat="1" x14ac:dyDescent="0.2">
      <c r="A17" s="82" t="s">
        <v>32</v>
      </c>
      <c r="B17" s="82"/>
      <c r="C17" s="82"/>
      <c r="D17" s="82"/>
      <c r="E17" s="82"/>
      <c r="F17" s="82"/>
      <c r="G17" s="13" t="s">
        <v>42</v>
      </c>
      <c r="H17" s="13">
        <v>0.32</v>
      </c>
      <c r="I17" s="13">
        <f>0.32*12*I35</f>
        <v>2912.2559999999999</v>
      </c>
      <c r="J17" s="13">
        <f t="shared" ref="J17:K17" si="34">0.32*12*J35</f>
        <v>2961.0239999999999</v>
      </c>
      <c r="K17" s="13">
        <f t="shared" si="34"/>
        <v>1537.152</v>
      </c>
      <c r="L17" s="13">
        <f t="shared" ref="L17:T17" si="35">0.32*12*L35</f>
        <v>2339.328</v>
      </c>
      <c r="M17" s="13">
        <f t="shared" si="35"/>
        <v>2328.96</v>
      </c>
      <c r="N17" s="13">
        <f t="shared" si="35"/>
        <v>1319.808</v>
      </c>
      <c r="O17" s="13">
        <f t="shared" si="35"/>
        <v>2263.2959999999998</v>
      </c>
      <c r="P17" s="13">
        <f t="shared" si="35"/>
        <v>1552.5119999999999</v>
      </c>
      <c r="Q17" s="13">
        <f t="shared" si="35"/>
        <v>2007.5519999999997</v>
      </c>
      <c r="R17" s="13">
        <f t="shared" si="35"/>
        <v>1312.896</v>
      </c>
      <c r="S17" s="13">
        <f t="shared" si="35"/>
        <v>2854.2719999999999</v>
      </c>
      <c r="T17" s="13">
        <f t="shared" si="35"/>
        <v>1549.8240000000001</v>
      </c>
      <c r="U17" s="13" t="s">
        <v>42</v>
      </c>
      <c r="V17" s="13">
        <v>0.38</v>
      </c>
      <c r="W17" s="13">
        <f t="shared" ref="W17:Z17" si="36">0.38*12*W35</f>
        <v>2384.424</v>
      </c>
      <c r="X17" s="13">
        <f t="shared" si="36"/>
        <v>1493.4</v>
      </c>
      <c r="Y17" s="13">
        <f t="shared" si="36"/>
        <v>3265.8720000000008</v>
      </c>
      <c r="Z17" s="13">
        <f t="shared" si="36"/>
        <v>1801.6560000000004</v>
      </c>
      <c r="AA17" s="13" t="s">
        <v>42</v>
      </c>
      <c r="AB17" s="28">
        <v>0.24</v>
      </c>
      <c r="AC17" s="13">
        <f t="shared" ref="AC17:AL17" si="37">0.24*12*AC35</f>
        <v>2058.0479999999998</v>
      </c>
      <c r="AD17" s="13">
        <f t="shared" si="37"/>
        <v>1478.8799999999999</v>
      </c>
      <c r="AE17" s="13">
        <f t="shared" si="37"/>
        <v>1166.3999999999999</v>
      </c>
      <c r="AF17" s="13">
        <f t="shared" si="37"/>
        <v>1500.48</v>
      </c>
      <c r="AG17" s="13">
        <f t="shared" si="37"/>
        <v>1505.088</v>
      </c>
      <c r="AH17" s="13">
        <f t="shared" si="37"/>
        <v>1057.5359999999998</v>
      </c>
      <c r="AI17" s="13">
        <f t="shared" si="37"/>
        <v>2055.7439999999997</v>
      </c>
      <c r="AJ17" s="13">
        <f t="shared" si="37"/>
        <v>985.82399999999996</v>
      </c>
      <c r="AK17" s="13">
        <f t="shared" si="37"/>
        <v>1553.472</v>
      </c>
      <c r="AL17" s="13">
        <f t="shared" si="37"/>
        <v>1526.3999999999999</v>
      </c>
      <c r="AM17" s="13" t="s">
        <v>42</v>
      </c>
      <c r="AN17" s="40">
        <v>0.24</v>
      </c>
      <c r="AO17" s="13">
        <f t="shared" ref="AO17:AP17" si="38">0.24*12*AO35</f>
        <v>1525.248</v>
      </c>
      <c r="AP17" s="13">
        <f t="shared" si="38"/>
        <v>1754.4960000000001</v>
      </c>
      <c r="AQ17" s="13">
        <f t="shared" ref="AQ17" si="39">0.24*12*AQ35</f>
        <v>1759.6799999999998</v>
      </c>
    </row>
    <row r="18" spans="1:43" s="1" customFormat="1" ht="57.75" customHeight="1" x14ac:dyDescent="0.2">
      <c r="A18" s="97" t="s">
        <v>33</v>
      </c>
      <c r="B18" s="98"/>
      <c r="C18" s="98"/>
      <c r="D18" s="98"/>
      <c r="E18" s="98"/>
      <c r="F18" s="99"/>
      <c r="G18" s="14" t="s">
        <v>12</v>
      </c>
      <c r="H18" s="13">
        <v>0.17</v>
      </c>
      <c r="I18" s="13">
        <f>0.17*12*I35</f>
        <v>1547.136</v>
      </c>
      <c r="J18" s="13">
        <f t="shared" ref="J18:K18" si="40">0.17*12*J35</f>
        <v>1573.0440000000001</v>
      </c>
      <c r="K18" s="13">
        <f t="shared" si="40"/>
        <v>816.61200000000008</v>
      </c>
      <c r="L18" s="13">
        <f t="shared" ref="L18:T18" si="41">0.17*12*L35</f>
        <v>1242.768</v>
      </c>
      <c r="M18" s="13">
        <f t="shared" si="41"/>
        <v>1237.26</v>
      </c>
      <c r="N18" s="13">
        <f t="shared" si="41"/>
        <v>701.14800000000002</v>
      </c>
      <c r="O18" s="13">
        <f t="shared" si="41"/>
        <v>1202.376</v>
      </c>
      <c r="P18" s="13">
        <f t="shared" si="41"/>
        <v>824.77200000000005</v>
      </c>
      <c r="Q18" s="13">
        <f t="shared" si="41"/>
        <v>1066.5119999999999</v>
      </c>
      <c r="R18" s="13">
        <f t="shared" si="41"/>
        <v>697.476</v>
      </c>
      <c r="S18" s="13">
        <f t="shared" si="41"/>
        <v>1516.3319999999999</v>
      </c>
      <c r="T18" s="13">
        <f t="shared" si="41"/>
        <v>823.34400000000005</v>
      </c>
      <c r="U18" s="14" t="s">
        <v>12</v>
      </c>
      <c r="V18" s="13">
        <v>0.27</v>
      </c>
      <c r="W18" s="13">
        <f t="shared" ref="W18:Z18" si="42">0.27*12*W35</f>
        <v>1694.1960000000001</v>
      </c>
      <c r="X18" s="13">
        <f t="shared" si="42"/>
        <v>1061.1000000000001</v>
      </c>
      <c r="Y18" s="13">
        <f t="shared" si="42"/>
        <v>2320.4880000000003</v>
      </c>
      <c r="Z18" s="13">
        <f t="shared" si="42"/>
        <v>1280.1240000000003</v>
      </c>
      <c r="AA18" s="14" t="s">
        <v>12</v>
      </c>
      <c r="AB18" s="28">
        <v>0.2</v>
      </c>
      <c r="AC18" s="13">
        <f t="shared" ref="AC18:AL18" si="43">0.2*12*AC35</f>
        <v>1715.0400000000004</v>
      </c>
      <c r="AD18" s="13">
        <f t="shared" si="43"/>
        <v>1232.4000000000001</v>
      </c>
      <c r="AE18" s="13">
        <f t="shared" si="43"/>
        <v>972.00000000000011</v>
      </c>
      <c r="AF18" s="13">
        <f t="shared" si="43"/>
        <v>1250.4000000000001</v>
      </c>
      <c r="AG18" s="13">
        <f t="shared" si="43"/>
        <v>1254.2400000000002</v>
      </c>
      <c r="AH18" s="13">
        <f t="shared" si="43"/>
        <v>881.28000000000009</v>
      </c>
      <c r="AI18" s="13">
        <f t="shared" si="43"/>
        <v>1713.1200000000001</v>
      </c>
      <c r="AJ18" s="13">
        <f t="shared" si="43"/>
        <v>821.5200000000001</v>
      </c>
      <c r="AK18" s="13">
        <f t="shared" si="43"/>
        <v>1294.5600000000002</v>
      </c>
      <c r="AL18" s="13">
        <f t="shared" si="43"/>
        <v>1272.0000000000002</v>
      </c>
      <c r="AM18" s="14" t="s">
        <v>12</v>
      </c>
      <c r="AN18" s="40">
        <v>0.2</v>
      </c>
      <c r="AO18" s="13">
        <f t="shared" ref="AO18:AP18" si="44">0.2*12*AO35</f>
        <v>1271.0400000000002</v>
      </c>
      <c r="AP18" s="13">
        <f t="shared" si="44"/>
        <v>1462.0800000000004</v>
      </c>
      <c r="AQ18" s="13">
        <f t="shared" ref="AQ18" si="45">0.2*12*AQ35</f>
        <v>1466.4000000000003</v>
      </c>
    </row>
    <row r="19" spans="1:43" s="1" customFormat="1" ht="23.25" customHeight="1" x14ac:dyDescent="0.2">
      <c r="A19" s="75" t="s">
        <v>34</v>
      </c>
      <c r="B19" s="82"/>
      <c r="C19" s="82"/>
      <c r="D19" s="82"/>
      <c r="E19" s="82"/>
      <c r="F19" s="82"/>
      <c r="G19" s="13" t="s">
        <v>43</v>
      </c>
      <c r="H19" s="13">
        <v>0.05</v>
      </c>
      <c r="I19" s="13">
        <f>0.05*12*I35</f>
        <v>455.04000000000008</v>
      </c>
      <c r="J19" s="13">
        <f t="shared" ref="J19:K19" si="46">0.05*12*J35</f>
        <v>462.66000000000008</v>
      </c>
      <c r="K19" s="13">
        <f t="shared" si="46"/>
        <v>240.18000000000004</v>
      </c>
      <c r="L19" s="13">
        <f t="shared" ref="L19:T19" si="47">0.05*12*L35</f>
        <v>365.5200000000001</v>
      </c>
      <c r="M19" s="13">
        <f t="shared" si="47"/>
        <v>363.90000000000003</v>
      </c>
      <c r="N19" s="13">
        <f t="shared" si="47"/>
        <v>206.22000000000003</v>
      </c>
      <c r="O19" s="13">
        <f t="shared" si="47"/>
        <v>353.64000000000004</v>
      </c>
      <c r="P19" s="13">
        <f t="shared" si="47"/>
        <v>242.58000000000004</v>
      </c>
      <c r="Q19" s="13">
        <f t="shared" si="47"/>
        <v>313.68</v>
      </c>
      <c r="R19" s="13">
        <f t="shared" si="47"/>
        <v>205.14000000000001</v>
      </c>
      <c r="S19" s="13">
        <f t="shared" si="47"/>
        <v>445.98</v>
      </c>
      <c r="T19" s="13">
        <f t="shared" si="47"/>
        <v>242.16000000000005</v>
      </c>
      <c r="U19" s="13" t="s">
        <v>43</v>
      </c>
      <c r="V19" s="13">
        <v>0.05</v>
      </c>
      <c r="W19" s="13">
        <f t="shared" ref="W19:X19" si="48">0.05*12*W35</f>
        <v>313.74</v>
      </c>
      <c r="X19" s="13">
        <f t="shared" si="48"/>
        <v>196.50000000000003</v>
      </c>
      <c r="Y19" s="13">
        <f t="shared" ref="Y19:Z19" si="49">0.05*12*Y35</f>
        <v>429.72000000000008</v>
      </c>
      <c r="Z19" s="13">
        <f t="shared" si="49"/>
        <v>237.06000000000006</v>
      </c>
      <c r="AA19" s="13" t="s">
        <v>43</v>
      </c>
      <c r="AB19" s="28">
        <v>0.05</v>
      </c>
      <c r="AC19" s="13">
        <f t="shared" ref="AC19" si="50">0.05*12*AC35</f>
        <v>428.7600000000001</v>
      </c>
      <c r="AD19" s="13">
        <f t="shared" ref="AD19:AE19" si="51">0.05*12*AD35</f>
        <v>308.10000000000002</v>
      </c>
      <c r="AE19" s="13">
        <f t="shared" si="51"/>
        <v>243.00000000000003</v>
      </c>
      <c r="AF19" s="13">
        <f t="shared" ref="AF19:AI19" si="52">0.05*12*AF35</f>
        <v>312.60000000000002</v>
      </c>
      <c r="AG19" s="13">
        <f t="shared" si="52"/>
        <v>313.56000000000006</v>
      </c>
      <c r="AH19" s="13">
        <f t="shared" si="52"/>
        <v>220.32000000000002</v>
      </c>
      <c r="AI19" s="13">
        <f t="shared" si="52"/>
        <v>428.28000000000003</v>
      </c>
      <c r="AJ19" s="13">
        <f t="shared" ref="AJ19:AL19" si="53">0.05*12*AJ35</f>
        <v>205.38000000000002</v>
      </c>
      <c r="AK19" s="13">
        <f t="shared" si="53"/>
        <v>323.64000000000004</v>
      </c>
      <c r="AL19" s="13">
        <f t="shared" si="53"/>
        <v>318.00000000000006</v>
      </c>
      <c r="AM19" s="13" t="s">
        <v>43</v>
      </c>
      <c r="AN19" s="40">
        <v>0.05</v>
      </c>
      <c r="AO19" s="13">
        <f t="shared" ref="AO19:AP19" si="54">0.05*12*AO35</f>
        <v>317.76000000000005</v>
      </c>
      <c r="AP19" s="13">
        <f t="shared" si="54"/>
        <v>365.5200000000001</v>
      </c>
      <c r="AQ19" s="13">
        <f t="shared" ref="AQ19" si="55">0.05*12*AQ35</f>
        <v>366.60000000000008</v>
      </c>
    </row>
    <row r="20" spans="1:43" s="1" customFormat="1" ht="33.75" x14ac:dyDescent="0.2">
      <c r="A20" s="82" t="s">
        <v>35</v>
      </c>
      <c r="B20" s="82"/>
      <c r="C20" s="82"/>
      <c r="D20" s="82"/>
      <c r="E20" s="82"/>
      <c r="F20" s="82"/>
      <c r="G20" s="15" t="s">
        <v>49</v>
      </c>
      <c r="H20" s="13">
        <v>2.62</v>
      </c>
      <c r="I20" s="13">
        <f>2.62*12*I35</f>
        <v>23844.096000000001</v>
      </c>
      <c r="J20" s="13">
        <f t="shared" ref="J20:K20" si="56">2.62*12*J35</f>
        <v>24243.384000000002</v>
      </c>
      <c r="K20" s="13">
        <f t="shared" si="56"/>
        <v>12585.432000000001</v>
      </c>
      <c r="L20" s="13">
        <f t="shared" ref="L20:T20" si="57">2.62*12*L35</f>
        <v>19153.248000000003</v>
      </c>
      <c r="M20" s="13">
        <f t="shared" si="57"/>
        <v>19068.36</v>
      </c>
      <c r="N20" s="13">
        <f t="shared" si="57"/>
        <v>10805.928</v>
      </c>
      <c r="O20" s="13">
        <f t="shared" si="57"/>
        <v>18530.736000000001</v>
      </c>
      <c r="P20" s="13">
        <f t="shared" si="57"/>
        <v>12711.192000000001</v>
      </c>
      <c r="Q20" s="13">
        <f t="shared" si="57"/>
        <v>16436.831999999999</v>
      </c>
      <c r="R20" s="13">
        <f t="shared" si="57"/>
        <v>10749.335999999999</v>
      </c>
      <c r="S20" s="13">
        <f t="shared" si="57"/>
        <v>23369.351999999999</v>
      </c>
      <c r="T20" s="13">
        <f t="shared" si="57"/>
        <v>12689.184000000001</v>
      </c>
      <c r="U20" s="15" t="s">
        <v>49</v>
      </c>
      <c r="V20" s="13">
        <v>3.89</v>
      </c>
      <c r="W20" s="13">
        <f t="shared" ref="W20:Z20" si="58">3.89*12*W35</f>
        <v>24408.971999999998</v>
      </c>
      <c r="X20" s="13">
        <f t="shared" si="58"/>
        <v>15287.7</v>
      </c>
      <c r="Y20" s="13">
        <f t="shared" si="58"/>
        <v>33432.216</v>
      </c>
      <c r="Z20" s="13">
        <f t="shared" si="58"/>
        <v>18443.268</v>
      </c>
      <c r="AA20" s="15" t="s">
        <v>49</v>
      </c>
      <c r="AB20" s="28">
        <v>2.62</v>
      </c>
      <c r="AC20" s="13">
        <f t="shared" ref="AC20:AL20" si="59">2.62*12*AC35</f>
        <v>22467.024000000001</v>
      </c>
      <c r="AD20" s="13">
        <f t="shared" si="59"/>
        <v>16144.44</v>
      </c>
      <c r="AE20" s="13">
        <f t="shared" si="59"/>
        <v>12733.2</v>
      </c>
      <c r="AF20" s="13">
        <f t="shared" si="59"/>
        <v>16380.24</v>
      </c>
      <c r="AG20" s="13">
        <f t="shared" si="59"/>
        <v>16430.544000000002</v>
      </c>
      <c r="AH20" s="13">
        <f t="shared" si="59"/>
        <v>11544.768</v>
      </c>
      <c r="AI20" s="13">
        <f t="shared" si="59"/>
        <v>22441.871999999999</v>
      </c>
      <c r="AJ20" s="13">
        <f t="shared" si="59"/>
        <v>10761.912</v>
      </c>
      <c r="AK20" s="13">
        <f t="shared" si="59"/>
        <v>16958.736000000001</v>
      </c>
      <c r="AL20" s="13">
        <f t="shared" si="59"/>
        <v>16663.2</v>
      </c>
      <c r="AM20" s="15" t="s">
        <v>49</v>
      </c>
      <c r="AN20" s="40">
        <v>2.62</v>
      </c>
      <c r="AO20" s="13">
        <f t="shared" ref="AO20:AP20" si="60">2.62*12*AO35</f>
        <v>16650.624</v>
      </c>
      <c r="AP20" s="13">
        <f t="shared" si="60"/>
        <v>19153.248000000003</v>
      </c>
      <c r="AQ20" s="13">
        <f t="shared" ref="AQ20" si="61">2.62*12*AQ35</f>
        <v>19209.84</v>
      </c>
    </row>
    <row r="21" spans="1:43" s="1" customFormat="1" x14ac:dyDescent="0.2">
      <c r="A21" s="82" t="s">
        <v>36</v>
      </c>
      <c r="B21" s="82"/>
      <c r="C21" s="82"/>
      <c r="D21" s="82"/>
      <c r="E21" s="82"/>
      <c r="F21" s="82"/>
      <c r="G21" s="13" t="s">
        <v>4</v>
      </c>
      <c r="H21" s="13">
        <v>0</v>
      </c>
      <c r="I21" s="13">
        <f>0*12*I35</f>
        <v>0</v>
      </c>
      <c r="J21" s="13">
        <f t="shared" ref="J21:K21" si="62">0*12*J35</f>
        <v>0</v>
      </c>
      <c r="K21" s="13">
        <f t="shared" si="62"/>
        <v>0</v>
      </c>
      <c r="L21" s="13">
        <f t="shared" ref="L21:T21" si="63">0*12*L35</f>
        <v>0</v>
      </c>
      <c r="M21" s="13">
        <f t="shared" si="63"/>
        <v>0</v>
      </c>
      <c r="N21" s="13">
        <f t="shared" si="63"/>
        <v>0</v>
      </c>
      <c r="O21" s="13">
        <f t="shared" si="63"/>
        <v>0</v>
      </c>
      <c r="P21" s="13">
        <f t="shared" si="63"/>
        <v>0</v>
      </c>
      <c r="Q21" s="13">
        <f t="shared" si="63"/>
        <v>0</v>
      </c>
      <c r="R21" s="13">
        <f t="shared" si="63"/>
        <v>0</v>
      </c>
      <c r="S21" s="13">
        <f t="shared" si="63"/>
        <v>0</v>
      </c>
      <c r="T21" s="13">
        <f t="shared" si="63"/>
        <v>0</v>
      </c>
      <c r="U21" s="13" t="s">
        <v>4</v>
      </c>
      <c r="V21" s="13">
        <v>4.7</v>
      </c>
      <c r="W21" s="13">
        <f t="shared" ref="W21:Z21" si="64">4.7*12*W35</f>
        <v>29491.56</v>
      </c>
      <c r="X21" s="13">
        <f t="shared" si="64"/>
        <v>18471.000000000004</v>
      </c>
      <c r="Y21" s="13">
        <f t="shared" si="64"/>
        <v>40393.680000000008</v>
      </c>
      <c r="Z21" s="13">
        <f t="shared" si="64"/>
        <v>22283.640000000003</v>
      </c>
      <c r="AA21" s="13" t="s">
        <v>4</v>
      </c>
      <c r="AB21" s="28">
        <v>0</v>
      </c>
      <c r="AC21" s="13">
        <f t="shared" ref="AC21:AL21" si="65">0*12*AC35</f>
        <v>0</v>
      </c>
      <c r="AD21" s="13">
        <f t="shared" si="65"/>
        <v>0</v>
      </c>
      <c r="AE21" s="13">
        <f t="shared" si="65"/>
        <v>0</v>
      </c>
      <c r="AF21" s="13">
        <f t="shared" si="65"/>
        <v>0</v>
      </c>
      <c r="AG21" s="13">
        <f t="shared" si="65"/>
        <v>0</v>
      </c>
      <c r="AH21" s="13">
        <f t="shared" si="65"/>
        <v>0</v>
      </c>
      <c r="AI21" s="13">
        <f t="shared" si="65"/>
        <v>0</v>
      </c>
      <c r="AJ21" s="13">
        <f t="shared" si="65"/>
        <v>0</v>
      </c>
      <c r="AK21" s="13">
        <f t="shared" si="65"/>
        <v>0</v>
      </c>
      <c r="AL21" s="13">
        <f t="shared" si="65"/>
        <v>0</v>
      </c>
      <c r="AM21" s="13" t="s">
        <v>4</v>
      </c>
      <c r="AN21" s="40">
        <v>0</v>
      </c>
      <c r="AO21" s="13">
        <f t="shared" ref="AO21:AP21" si="66">0*12*AO35</f>
        <v>0</v>
      </c>
      <c r="AP21" s="13">
        <f t="shared" si="66"/>
        <v>0</v>
      </c>
      <c r="AQ21" s="13">
        <f t="shared" ref="AQ21" si="67">0*12*AQ35</f>
        <v>0</v>
      </c>
    </row>
    <row r="22" spans="1:43" s="1" customFormat="1" ht="13.5" customHeight="1" x14ac:dyDescent="0.2">
      <c r="A22" s="84" t="s">
        <v>10</v>
      </c>
      <c r="B22" s="85"/>
      <c r="C22" s="85"/>
      <c r="D22" s="85"/>
      <c r="E22" s="85"/>
      <c r="F22" s="86"/>
      <c r="G22" s="12"/>
      <c r="H22" s="16">
        <f t="shared" ref="H22" si="68">SUM(H23:H27)</f>
        <v>1.94</v>
      </c>
      <c r="I22" s="16">
        <f t="shared" ref="I22:K22" si="69">SUM(I23:I27)</f>
        <v>17655.552</v>
      </c>
      <c r="J22" s="16">
        <f t="shared" si="69"/>
        <v>17951.208000000002</v>
      </c>
      <c r="K22" s="16">
        <f t="shared" si="69"/>
        <v>9318.9840000000004</v>
      </c>
      <c r="L22" s="16">
        <f t="shared" ref="L22:M22" si="70">SUM(L23:L27)</f>
        <v>14182.176000000003</v>
      </c>
      <c r="M22" s="16">
        <f t="shared" si="70"/>
        <v>14119.32</v>
      </c>
      <c r="N22" s="16">
        <f t="shared" ref="N22:Q22" si="71">SUM(N23:N27)</f>
        <v>8001.3359999999993</v>
      </c>
      <c r="O22" s="16">
        <f t="shared" si="71"/>
        <v>13721.232</v>
      </c>
      <c r="P22" s="16">
        <f t="shared" si="71"/>
        <v>9412.1040000000012</v>
      </c>
      <c r="Q22" s="16">
        <f t="shared" si="71"/>
        <v>12170.784</v>
      </c>
      <c r="R22" s="16">
        <f t="shared" ref="R22:T22" si="72">SUM(R23:R27)</f>
        <v>7959.4319999999998</v>
      </c>
      <c r="S22" s="16">
        <f t="shared" si="72"/>
        <v>17304.023999999998</v>
      </c>
      <c r="T22" s="16">
        <f t="shared" si="72"/>
        <v>9395.8080000000009</v>
      </c>
      <c r="U22" s="12"/>
      <c r="V22" s="16">
        <v>3.23</v>
      </c>
      <c r="W22" s="16">
        <f t="shared" ref="W22:X22" si="73">SUM(W23:W27)</f>
        <v>20267.603999999999</v>
      </c>
      <c r="X22" s="16">
        <f t="shared" si="73"/>
        <v>12693.900000000001</v>
      </c>
      <c r="Y22" s="16">
        <f t="shared" ref="Y22:Z22" si="74">SUM(Y23:Y27)</f>
        <v>27759.912000000004</v>
      </c>
      <c r="Z22" s="16">
        <f t="shared" si="74"/>
        <v>15314.076000000001</v>
      </c>
      <c r="AA22" s="12"/>
      <c r="AB22" s="29">
        <f t="shared" ref="AB22" si="75">SUM(AB23:AB27)</f>
        <v>5.2099999999999991</v>
      </c>
      <c r="AC22" s="16">
        <f t="shared" ref="AC22" si="76">SUM(AC23:AC27)</f>
        <v>44676.791999999994</v>
      </c>
      <c r="AD22" s="16">
        <f t="shared" ref="AD22:AE22" si="77">SUM(AD23:AD27)</f>
        <v>32104.019999999997</v>
      </c>
      <c r="AE22" s="16">
        <f t="shared" si="77"/>
        <v>25320.6</v>
      </c>
      <c r="AF22" s="16">
        <f t="shared" ref="AF22:AI22" si="78">SUM(AF23:AF27)</f>
        <v>32572.92</v>
      </c>
      <c r="AG22" s="16">
        <f t="shared" si="78"/>
        <v>32672.951999999997</v>
      </c>
      <c r="AH22" s="16">
        <f t="shared" si="78"/>
        <v>22957.343999999997</v>
      </c>
      <c r="AI22" s="16">
        <f t="shared" si="78"/>
        <v>44626.775999999991</v>
      </c>
      <c r="AJ22" s="16">
        <f t="shared" ref="AJ22:AL22" si="79">SUM(AJ23:AJ27)</f>
        <v>21400.595999999998</v>
      </c>
      <c r="AK22" s="16">
        <f t="shared" si="79"/>
        <v>33723.287999999993</v>
      </c>
      <c r="AL22" s="16">
        <f t="shared" si="79"/>
        <v>33135.599999999999</v>
      </c>
      <c r="AM22" s="12"/>
      <c r="AN22" s="41">
        <f t="shared" ref="AN22:AP22" si="80">SUM(AN23:AN27)</f>
        <v>2.98</v>
      </c>
      <c r="AO22" s="16">
        <f t="shared" si="80"/>
        <v>18938.495999999999</v>
      </c>
      <c r="AP22" s="16">
        <f t="shared" si="80"/>
        <v>21784.991999999998</v>
      </c>
      <c r="AQ22" s="16">
        <f t="shared" ref="AQ22" si="81">SUM(AQ23:AQ27)</f>
        <v>21849.360000000001</v>
      </c>
    </row>
    <row r="23" spans="1:43" s="1" customFormat="1" x14ac:dyDescent="0.2">
      <c r="A23" s="75" t="s">
        <v>38</v>
      </c>
      <c r="B23" s="82"/>
      <c r="C23" s="82"/>
      <c r="D23" s="82"/>
      <c r="E23" s="82"/>
      <c r="F23" s="82"/>
      <c r="G23" s="13" t="s">
        <v>4</v>
      </c>
      <c r="H23" s="13">
        <v>1.02</v>
      </c>
      <c r="I23" s="13">
        <f>1.02*12*I35</f>
        <v>9282.8160000000007</v>
      </c>
      <c r="J23" s="13">
        <f t="shared" ref="J23:K23" si="82">1.02*12*J35</f>
        <v>9438.264000000001</v>
      </c>
      <c r="K23" s="13">
        <f t="shared" si="82"/>
        <v>4899.6720000000005</v>
      </c>
      <c r="L23" s="13">
        <f t="shared" ref="L23:T23" si="83">1.02*12*L35</f>
        <v>7456.6080000000011</v>
      </c>
      <c r="M23" s="13">
        <f t="shared" si="83"/>
        <v>7423.56</v>
      </c>
      <c r="N23" s="13">
        <f t="shared" si="83"/>
        <v>4206.8879999999999</v>
      </c>
      <c r="O23" s="13">
        <f t="shared" si="83"/>
        <v>7214.2559999999994</v>
      </c>
      <c r="P23" s="13">
        <f t="shared" si="83"/>
        <v>4948.6320000000005</v>
      </c>
      <c r="Q23" s="13">
        <f t="shared" si="83"/>
        <v>6399.0719999999992</v>
      </c>
      <c r="R23" s="13">
        <f t="shared" si="83"/>
        <v>4184.8559999999998</v>
      </c>
      <c r="S23" s="13">
        <f t="shared" si="83"/>
        <v>9097.9920000000002</v>
      </c>
      <c r="T23" s="13">
        <f t="shared" si="83"/>
        <v>4940.0640000000003</v>
      </c>
      <c r="U23" s="13" t="s">
        <v>4</v>
      </c>
      <c r="V23" s="13">
        <v>1.02</v>
      </c>
      <c r="W23" s="13">
        <f t="shared" ref="W23:X23" si="84">1.02*12*W35</f>
        <v>6400.2960000000003</v>
      </c>
      <c r="X23" s="13">
        <f t="shared" si="84"/>
        <v>4008.6</v>
      </c>
      <c r="Y23" s="13">
        <f t="shared" ref="Y23:Z23" si="85">1.02*12*Y35</f>
        <v>8766.2880000000005</v>
      </c>
      <c r="Z23" s="13">
        <f t="shared" si="85"/>
        <v>4836.0240000000003</v>
      </c>
      <c r="AA23" s="13" t="s">
        <v>4</v>
      </c>
      <c r="AB23" s="28">
        <v>1.1499999999999999</v>
      </c>
      <c r="AC23" s="13">
        <f t="shared" ref="AC23:AL23" si="86">1.15*12*AC35</f>
        <v>9861.48</v>
      </c>
      <c r="AD23" s="13">
        <f t="shared" si="86"/>
        <v>7086.2999999999993</v>
      </c>
      <c r="AE23" s="13">
        <f t="shared" si="86"/>
        <v>5589</v>
      </c>
      <c r="AF23" s="13">
        <f t="shared" si="86"/>
        <v>7189.7999999999993</v>
      </c>
      <c r="AG23" s="13">
        <f t="shared" si="86"/>
        <v>7211.88</v>
      </c>
      <c r="AH23" s="13">
        <f t="shared" si="86"/>
        <v>5067.3599999999997</v>
      </c>
      <c r="AI23" s="13">
        <f t="shared" si="86"/>
        <v>9850.4399999999987</v>
      </c>
      <c r="AJ23" s="13">
        <f t="shared" si="86"/>
        <v>4723.74</v>
      </c>
      <c r="AK23" s="13">
        <f t="shared" si="86"/>
        <v>7443.7199999999993</v>
      </c>
      <c r="AL23" s="13">
        <f t="shared" si="86"/>
        <v>7313.9999999999991</v>
      </c>
      <c r="AM23" s="13" t="s">
        <v>4</v>
      </c>
      <c r="AN23" s="40">
        <v>1.1499999999999999</v>
      </c>
      <c r="AO23" s="13">
        <f t="shared" ref="AO23:AP23" si="87">1.15*12*AO35</f>
        <v>7308.48</v>
      </c>
      <c r="AP23" s="13">
        <f t="shared" si="87"/>
        <v>8406.9599999999991</v>
      </c>
      <c r="AQ23" s="13">
        <f t="shared" ref="AQ23" si="88">1.15*12*AQ35</f>
        <v>8431.7999999999993</v>
      </c>
    </row>
    <row r="24" spans="1:43" s="1" customFormat="1" ht="25.5" customHeight="1" x14ac:dyDescent="0.2">
      <c r="A24" s="75" t="s">
        <v>28</v>
      </c>
      <c r="B24" s="82"/>
      <c r="C24" s="82"/>
      <c r="D24" s="82"/>
      <c r="E24" s="82"/>
      <c r="F24" s="82"/>
      <c r="G24" s="13" t="s">
        <v>3</v>
      </c>
      <c r="H24" s="13">
        <v>0</v>
      </c>
      <c r="I24" s="13">
        <f>0*1242*I35</f>
        <v>0</v>
      </c>
      <c r="J24" s="13">
        <f t="shared" ref="J24:K24" si="89">0*1242*J35</f>
        <v>0</v>
      </c>
      <c r="K24" s="13">
        <f t="shared" si="89"/>
        <v>0</v>
      </c>
      <c r="L24" s="13">
        <f t="shared" ref="L24:T24" si="90">0*1242*L35</f>
        <v>0</v>
      </c>
      <c r="M24" s="13">
        <f t="shared" si="90"/>
        <v>0</v>
      </c>
      <c r="N24" s="13">
        <f t="shared" si="90"/>
        <v>0</v>
      </c>
      <c r="O24" s="13">
        <f t="shared" si="90"/>
        <v>0</v>
      </c>
      <c r="P24" s="13">
        <f t="shared" si="90"/>
        <v>0</v>
      </c>
      <c r="Q24" s="13">
        <f t="shared" si="90"/>
        <v>0</v>
      </c>
      <c r="R24" s="13">
        <f t="shared" si="90"/>
        <v>0</v>
      </c>
      <c r="S24" s="13">
        <f t="shared" si="90"/>
        <v>0</v>
      </c>
      <c r="T24" s="13">
        <f t="shared" si="90"/>
        <v>0</v>
      </c>
      <c r="U24" s="13" t="s">
        <v>3</v>
      </c>
      <c r="V24" s="13">
        <v>0</v>
      </c>
      <c r="W24" s="13">
        <f t="shared" ref="W24:Z24" si="91">0*12*W35</f>
        <v>0</v>
      </c>
      <c r="X24" s="13">
        <f t="shared" si="91"/>
        <v>0</v>
      </c>
      <c r="Y24" s="13">
        <f t="shared" si="91"/>
        <v>0</v>
      </c>
      <c r="Z24" s="13">
        <f t="shared" si="91"/>
        <v>0</v>
      </c>
      <c r="AA24" s="13" t="s">
        <v>3</v>
      </c>
      <c r="AB24" s="28">
        <v>0</v>
      </c>
      <c r="AC24" s="13">
        <f t="shared" ref="AC24" si="92">0*12*AC35</f>
        <v>0</v>
      </c>
      <c r="AD24" s="13">
        <f t="shared" ref="AD24:AE24" si="93">0*12*AD35</f>
        <v>0</v>
      </c>
      <c r="AE24" s="13">
        <f t="shared" si="93"/>
        <v>0</v>
      </c>
      <c r="AF24" s="13">
        <f t="shared" ref="AF24:AI24" si="94">0*12*AF35</f>
        <v>0</v>
      </c>
      <c r="AG24" s="13">
        <f t="shared" si="94"/>
        <v>0</v>
      </c>
      <c r="AH24" s="13">
        <f t="shared" si="94"/>
        <v>0</v>
      </c>
      <c r="AI24" s="13">
        <f t="shared" si="94"/>
        <v>0</v>
      </c>
      <c r="AJ24" s="13">
        <f t="shared" ref="AJ24:AL24" si="95">0*12*AJ35</f>
        <v>0</v>
      </c>
      <c r="AK24" s="13">
        <f t="shared" si="95"/>
        <v>0</v>
      </c>
      <c r="AL24" s="13">
        <f t="shared" si="95"/>
        <v>0</v>
      </c>
      <c r="AM24" s="13" t="s">
        <v>3</v>
      </c>
      <c r="AN24" s="40">
        <v>0</v>
      </c>
      <c r="AO24" s="13">
        <f t="shared" ref="AO24:AP24" si="96">0*12*AO35</f>
        <v>0</v>
      </c>
      <c r="AP24" s="13">
        <f t="shared" si="96"/>
        <v>0</v>
      </c>
      <c r="AQ24" s="13">
        <f t="shared" ref="AQ24" si="97">0*12*AQ35</f>
        <v>0</v>
      </c>
    </row>
    <row r="25" spans="1:43" s="1" customFormat="1" ht="25.5" customHeight="1" x14ac:dyDescent="0.2">
      <c r="A25" s="75" t="s">
        <v>29</v>
      </c>
      <c r="B25" s="75"/>
      <c r="C25" s="75"/>
      <c r="D25" s="75"/>
      <c r="E25" s="75"/>
      <c r="F25" s="75"/>
      <c r="G25" s="13" t="s">
        <v>8</v>
      </c>
      <c r="H25" s="13">
        <v>0</v>
      </c>
      <c r="I25" s="13">
        <f>0*12*I35</f>
        <v>0</v>
      </c>
      <c r="J25" s="13">
        <f t="shared" ref="J25:K25" si="98">0*12*J35</f>
        <v>0</v>
      </c>
      <c r="K25" s="13">
        <f t="shared" si="98"/>
        <v>0</v>
      </c>
      <c r="L25" s="13">
        <f t="shared" ref="L25:T25" si="99">0*12*L35</f>
        <v>0</v>
      </c>
      <c r="M25" s="13">
        <f t="shared" si="99"/>
        <v>0</v>
      </c>
      <c r="N25" s="13">
        <f t="shared" si="99"/>
        <v>0</v>
      </c>
      <c r="O25" s="13">
        <f t="shared" si="99"/>
        <v>0</v>
      </c>
      <c r="P25" s="13">
        <f t="shared" si="99"/>
        <v>0</v>
      </c>
      <c r="Q25" s="13">
        <f t="shared" si="99"/>
        <v>0</v>
      </c>
      <c r="R25" s="13">
        <f t="shared" si="99"/>
        <v>0</v>
      </c>
      <c r="S25" s="13">
        <f t="shared" si="99"/>
        <v>0</v>
      </c>
      <c r="T25" s="13">
        <f t="shared" si="99"/>
        <v>0</v>
      </c>
      <c r="U25" s="13" t="s">
        <v>8</v>
      </c>
      <c r="V25" s="13">
        <v>0</v>
      </c>
      <c r="W25" s="13">
        <f t="shared" ref="W25:X25" si="100">0*12*W35</f>
        <v>0</v>
      </c>
      <c r="X25" s="13">
        <f t="shared" si="100"/>
        <v>0</v>
      </c>
      <c r="Y25" s="13">
        <f t="shared" ref="Y25:Z25" si="101">0*12*Y35</f>
        <v>0</v>
      </c>
      <c r="Z25" s="13">
        <f t="shared" si="101"/>
        <v>0</v>
      </c>
      <c r="AA25" s="13" t="s">
        <v>8</v>
      </c>
      <c r="AB25" s="28">
        <v>0</v>
      </c>
      <c r="AC25" s="13">
        <f t="shared" ref="AC25" si="102">0*12*AC35</f>
        <v>0</v>
      </c>
      <c r="AD25" s="13">
        <f t="shared" ref="AD25:AE25" si="103">0*12*AD35</f>
        <v>0</v>
      </c>
      <c r="AE25" s="13">
        <f t="shared" si="103"/>
        <v>0</v>
      </c>
      <c r="AF25" s="13">
        <f t="shared" ref="AF25:AI25" si="104">0*12*AF35</f>
        <v>0</v>
      </c>
      <c r="AG25" s="13">
        <f t="shared" si="104"/>
        <v>0</v>
      </c>
      <c r="AH25" s="13">
        <f t="shared" si="104"/>
        <v>0</v>
      </c>
      <c r="AI25" s="13">
        <f t="shared" si="104"/>
        <v>0</v>
      </c>
      <c r="AJ25" s="13">
        <f t="shared" ref="AJ25:AL25" si="105">0*12*AJ35</f>
        <v>0</v>
      </c>
      <c r="AK25" s="13">
        <f t="shared" si="105"/>
        <v>0</v>
      </c>
      <c r="AL25" s="13">
        <f t="shared" si="105"/>
        <v>0</v>
      </c>
      <c r="AM25" s="13" t="s">
        <v>8</v>
      </c>
      <c r="AN25" s="40">
        <v>0</v>
      </c>
      <c r="AO25" s="13">
        <f t="shared" ref="AO25:AP25" si="106">0*12*AO35</f>
        <v>0</v>
      </c>
      <c r="AP25" s="13">
        <f t="shared" si="106"/>
        <v>0</v>
      </c>
      <c r="AQ25" s="13">
        <f t="shared" ref="AQ25" si="107">0*12*AQ35</f>
        <v>0</v>
      </c>
    </row>
    <row r="26" spans="1:43" s="1" customFormat="1" ht="57" customHeight="1" x14ac:dyDescent="0.2">
      <c r="A26" s="75" t="s">
        <v>30</v>
      </c>
      <c r="B26" s="75"/>
      <c r="C26" s="75"/>
      <c r="D26" s="75"/>
      <c r="E26" s="75"/>
      <c r="F26" s="75"/>
      <c r="G26" s="14" t="s">
        <v>9</v>
      </c>
      <c r="H26" s="13">
        <f>0.03+0.01</f>
        <v>0.04</v>
      </c>
      <c r="I26" s="13">
        <f>0.04*12*I35</f>
        <v>364.03199999999998</v>
      </c>
      <c r="J26" s="13">
        <f t="shared" ref="J26:K26" si="108">0.04*12*J35</f>
        <v>370.12799999999999</v>
      </c>
      <c r="K26" s="13">
        <f t="shared" si="108"/>
        <v>192.14400000000001</v>
      </c>
      <c r="L26" s="13">
        <f t="shared" ref="L26:T26" si="109">0.04*12*L35</f>
        <v>292.416</v>
      </c>
      <c r="M26" s="13">
        <f t="shared" si="109"/>
        <v>291.12</v>
      </c>
      <c r="N26" s="13">
        <f t="shared" si="109"/>
        <v>164.976</v>
      </c>
      <c r="O26" s="13">
        <f t="shared" si="109"/>
        <v>282.91199999999998</v>
      </c>
      <c r="P26" s="13">
        <f t="shared" si="109"/>
        <v>194.06399999999999</v>
      </c>
      <c r="Q26" s="13">
        <f t="shared" si="109"/>
        <v>250.94399999999996</v>
      </c>
      <c r="R26" s="13">
        <f t="shared" si="109"/>
        <v>164.11199999999999</v>
      </c>
      <c r="S26" s="13">
        <f t="shared" si="109"/>
        <v>356.78399999999999</v>
      </c>
      <c r="T26" s="13">
        <f t="shared" si="109"/>
        <v>193.72800000000001</v>
      </c>
      <c r="U26" s="14" t="s">
        <v>9</v>
      </c>
      <c r="V26" s="13">
        <v>0.04</v>
      </c>
      <c r="W26" s="13">
        <f t="shared" ref="W26:X26" si="110">0.04*12*W35</f>
        <v>250.99199999999999</v>
      </c>
      <c r="X26" s="13">
        <f t="shared" si="110"/>
        <v>157.19999999999999</v>
      </c>
      <c r="Y26" s="13">
        <f t="shared" ref="Y26:Z26" si="111">0.04*12*Y35</f>
        <v>343.77600000000001</v>
      </c>
      <c r="Z26" s="13">
        <f t="shared" si="111"/>
        <v>189.648</v>
      </c>
      <c r="AA26" s="14" t="s">
        <v>9</v>
      </c>
      <c r="AB26" s="28">
        <v>0.04</v>
      </c>
      <c r="AC26" s="13">
        <f t="shared" ref="AC26" si="112">0.04*12*AC35</f>
        <v>343.00799999999998</v>
      </c>
      <c r="AD26" s="13">
        <f t="shared" ref="AD26:AE26" si="113">0.04*12*AD35</f>
        <v>246.48</v>
      </c>
      <c r="AE26" s="13">
        <f t="shared" si="113"/>
        <v>194.4</v>
      </c>
      <c r="AF26" s="13">
        <f t="shared" ref="AF26:AI26" si="114">0.04*12*AF35</f>
        <v>250.07999999999998</v>
      </c>
      <c r="AG26" s="13">
        <f t="shared" si="114"/>
        <v>250.84800000000001</v>
      </c>
      <c r="AH26" s="13">
        <f t="shared" si="114"/>
        <v>176.256</v>
      </c>
      <c r="AI26" s="13">
        <f t="shared" si="114"/>
        <v>342.62399999999997</v>
      </c>
      <c r="AJ26" s="13">
        <f t="shared" ref="AJ26:AL26" si="115">0.04*12*AJ35</f>
        <v>164.304</v>
      </c>
      <c r="AK26" s="13">
        <f t="shared" si="115"/>
        <v>258.91199999999998</v>
      </c>
      <c r="AL26" s="13">
        <f t="shared" si="115"/>
        <v>254.39999999999998</v>
      </c>
      <c r="AM26" s="14" t="s">
        <v>9</v>
      </c>
      <c r="AN26" s="40">
        <v>0.04</v>
      </c>
      <c r="AO26" s="13">
        <f t="shared" ref="AO26:AP26" si="116">0.04*12*AO35</f>
        <v>254.208</v>
      </c>
      <c r="AP26" s="13">
        <f t="shared" si="116"/>
        <v>292.416</v>
      </c>
      <c r="AQ26" s="13">
        <f t="shared" ref="AQ26" si="117">0.04*12*AQ35</f>
        <v>293.27999999999997</v>
      </c>
    </row>
    <row r="27" spans="1:43" s="1" customFormat="1" ht="85.5" customHeight="1" x14ac:dyDescent="0.2">
      <c r="A27" s="75" t="s">
        <v>48</v>
      </c>
      <c r="B27" s="75"/>
      <c r="C27" s="75"/>
      <c r="D27" s="75"/>
      <c r="E27" s="75"/>
      <c r="F27" s="75"/>
      <c r="G27" s="13" t="s">
        <v>8</v>
      </c>
      <c r="H27" s="13">
        <f>0.32+0.18+0.38</f>
        <v>0.88</v>
      </c>
      <c r="I27" s="13">
        <f>0.88*12*I35</f>
        <v>8008.7039999999997</v>
      </c>
      <c r="J27" s="13">
        <f t="shared" ref="J27:K27" si="118">0.88*12*J35</f>
        <v>8142.8160000000007</v>
      </c>
      <c r="K27" s="13">
        <f t="shared" si="118"/>
        <v>4227.1680000000006</v>
      </c>
      <c r="L27" s="13">
        <f t="shared" ref="L27:T27" si="119">0.88*12*L35</f>
        <v>6433.152000000001</v>
      </c>
      <c r="M27" s="13">
        <f t="shared" si="119"/>
        <v>6404.64</v>
      </c>
      <c r="N27" s="13">
        <f t="shared" si="119"/>
        <v>3629.4720000000002</v>
      </c>
      <c r="O27" s="13">
        <f t="shared" si="119"/>
        <v>6224.0640000000003</v>
      </c>
      <c r="P27" s="13">
        <f t="shared" si="119"/>
        <v>4269.4080000000004</v>
      </c>
      <c r="Q27" s="13">
        <f t="shared" si="119"/>
        <v>5520.768</v>
      </c>
      <c r="R27" s="13">
        <f t="shared" si="119"/>
        <v>3610.4639999999999</v>
      </c>
      <c r="S27" s="13">
        <f t="shared" si="119"/>
        <v>7849.2479999999996</v>
      </c>
      <c r="T27" s="13">
        <f t="shared" si="119"/>
        <v>4262.0160000000005</v>
      </c>
      <c r="U27" s="13" t="s">
        <v>8</v>
      </c>
      <c r="V27" s="13">
        <v>2.17</v>
      </c>
      <c r="W27" s="13">
        <f t="shared" ref="W27:Z27" si="120">2.17*12*W35</f>
        <v>13616.315999999999</v>
      </c>
      <c r="X27" s="13">
        <f t="shared" si="120"/>
        <v>8528.1</v>
      </c>
      <c r="Y27" s="13">
        <f t="shared" si="120"/>
        <v>18649.848000000002</v>
      </c>
      <c r="Z27" s="13">
        <f t="shared" si="120"/>
        <v>10288.404</v>
      </c>
      <c r="AA27" s="13" t="s">
        <v>8</v>
      </c>
      <c r="AB27" s="28">
        <f>0.31+0.67+0.91+0.3+1.16+0.67</f>
        <v>4.0199999999999996</v>
      </c>
      <c r="AC27" s="13">
        <f t="shared" ref="AC27:AL27" si="121">4.02*12*AC35</f>
        <v>34472.303999999996</v>
      </c>
      <c r="AD27" s="13">
        <f t="shared" si="121"/>
        <v>24771.239999999998</v>
      </c>
      <c r="AE27" s="13">
        <f t="shared" si="121"/>
        <v>19537.199999999997</v>
      </c>
      <c r="AF27" s="13">
        <f t="shared" si="121"/>
        <v>25133.039999999997</v>
      </c>
      <c r="AG27" s="13">
        <f t="shared" si="121"/>
        <v>25210.223999999998</v>
      </c>
      <c r="AH27" s="13">
        <f t="shared" si="121"/>
        <v>17713.727999999999</v>
      </c>
      <c r="AI27" s="13">
        <f t="shared" si="121"/>
        <v>34433.711999999992</v>
      </c>
      <c r="AJ27" s="13">
        <f t="shared" si="121"/>
        <v>16512.552</v>
      </c>
      <c r="AK27" s="13">
        <f t="shared" si="121"/>
        <v>26020.655999999995</v>
      </c>
      <c r="AL27" s="13">
        <f t="shared" si="121"/>
        <v>25567.199999999997</v>
      </c>
      <c r="AM27" s="13" t="s">
        <v>8</v>
      </c>
      <c r="AN27" s="40">
        <f>0.67+0.45+0.67</f>
        <v>1.79</v>
      </c>
      <c r="AO27" s="13">
        <f t="shared" ref="AO27:AP27" si="122">1.79*12*AO35</f>
        <v>11375.808000000001</v>
      </c>
      <c r="AP27" s="13">
        <f t="shared" si="122"/>
        <v>13085.616000000002</v>
      </c>
      <c r="AQ27" s="13">
        <f t="shared" ref="AQ27" si="123">1.79*12*AQ35</f>
        <v>13124.28</v>
      </c>
    </row>
    <row r="28" spans="1:43" s="1" customFormat="1" x14ac:dyDescent="0.2">
      <c r="A28" s="79" t="s">
        <v>7</v>
      </c>
      <c r="B28" s="80"/>
      <c r="C28" s="80"/>
      <c r="D28" s="80"/>
      <c r="E28" s="80"/>
      <c r="F28" s="81"/>
      <c r="G28" s="12"/>
      <c r="H28" s="16">
        <f t="shared" ref="H28" si="124">SUM(H29:H33)</f>
        <v>11.659999999999997</v>
      </c>
      <c r="I28" s="16">
        <f t="shared" ref="I28:K28" si="125">SUM(I29:I33)</f>
        <v>106115.32799999999</v>
      </c>
      <c r="J28" s="16">
        <f t="shared" si="125"/>
        <v>107892.31199999999</v>
      </c>
      <c r="K28" s="16">
        <f t="shared" si="125"/>
        <v>56009.975999999995</v>
      </c>
      <c r="L28" s="16">
        <f t="shared" ref="L28:M28" si="126">SUM(L29:L33)</f>
        <v>85239.263999999996</v>
      </c>
      <c r="M28" s="16">
        <f t="shared" si="126"/>
        <v>84861.48</v>
      </c>
      <c r="N28" s="16">
        <f t="shared" ref="N28:Q28" si="127">SUM(N29:N33)</f>
        <v>48090.504000000001</v>
      </c>
      <c r="O28" s="16">
        <f t="shared" si="127"/>
        <v>82468.847999999984</v>
      </c>
      <c r="P28" s="16">
        <f t="shared" si="127"/>
        <v>56569.655999999995</v>
      </c>
      <c r="Q28" s="16">
        <f t="shared" si="127"/>
        <v>73150.175999999978</v>
      </c>
      <c r="R28" s="16">
        <f t="shared" ref="R28:T28" si="128">SUM(R29:R33)</f>
        <v>47838.647999999994</v>
      </c>
      <c r="S28" s="16">
        <f t="shared" si="128"/>
        <v>104002.53599999998</v>
      </c>
      <c r="T28" s="16">
        <f t="shared" si="128"/>
        <v>56471.712</v>
      </c>
      <c r="U28" s="12"/>
      <c r="V28" s="16">
        <v>7.3299999999999992</v>
      </c>
      <c r="W28" s="16">
        <f t="shared" ref="W28:X28" si="129">SUM(W29:W33)</f>
        <v>45994.283999999992</v>
      </c>
      <c r="X28" s="16">
        <f t="shared" si="129"/>
        <v>28806.900000000005</v>
      </c>
      <c r="Y28" s="16">
        <f t="shared" ref="Y28:Z28" si="130">SUM(Y29:Y33)</f>
        <v>62996.952000000019</v>
      </c>
      <c r="Z28" s="16">
        <f t="shared" si="130"/>
        <v>34752.995999999999</v>
      </c>
      <c r="AA28" s="12"/>
      <c r="AB28" s="29">
        <f t="shared" ref="AB28" si="131">SUM(AB29:AB33)</f>
        <v>6.8</v>
      </c>
      <c r="AC28" s="16">
        <f t="shared" ref="AC28" si="132">SUM(AC29:AC33)</f>
        <v>58311.360000000008</v>
      </c>
      <c r="AD28" s="16">
        <f t="shared" ref="AD28:AE28" si="133">SUM(AD29:AD33)</f>
        <v>41901.599999999999</v>
      </c>
      <c r="AE28" s="16">
        <f t="shared" si="133"/>
        <v>33048</v>
      </c>
      <c r="AF28" s="16">
        <f t="shared" ref="AF28:AI28" si="134">SUM(AF29:AF33)</f>
        <v>42513.599999999999</v>
      </c>
      <c r="AG28" s="16">
        <f t="shared" si="134"/>
        <v>42644.160000000003</v>
      </c>
      <c r="AH28" s="16">
        <f t="shared" si="134"/>
        <v>29963.52</v>
      </c>
      <c r="AI28" s="16">
        <f t="shared" si="134"/>
        <v>58246.079999999994</v>
      </c>
      <c r="AJ28" s="16">
        <f t="shared" ref="AJ28:AL28" si="135">SUM(AJ29:AJ33)</f>
        <v>27931.68</v>
      </c>
      <c r="AK28" s="16">
        <f t="shared" si="135"/>
        <v>44015.040000000001</v>
      </c>
      <c r="AL28" s="16">
        <f t="shared" si="135"/>
        <v>43248</v>
      </c>
      <c r="AM28" s="12"/>
      <c r="AN28" s="41">
        <f t="shared" ref="AN28:AP28" si="136">SUM(AN29:AN33)</f>
        <v>4.6500000000000004</v>
      </c>
      <c r="AO28" s="16">
        <f t="shared" si="136"/>
        <v>29551.680000000004</v>
      </c>
      <c r="AP28" s="16">
        <f t="shared" si="136"/>
        <v>33993.360000000001</v>
      </c>
      <c r="AQ28" s="16">
        <f t="shared" ref="AQ28" si="137">SUM(AQ29:AQ33)</f>
        <v>34093.799999999996</v>
      </c>
    </row>
    <row r="29" spans="1:43" s="1" customFormat="1" ht="176.25" customHeight="1" x14ac:dyDescent="0.2">
      <c r="A29" s="75" t="s">
        <v>39</v>
      </c>
      <c r="B29" s="75"/>
      <c r="C29" s="75"/>
      <c r="D29" s="75"/>
      <c r="E29" s="75"/>
      <c r="F29" s="75"/>
      <c r="G29" s="14" t="s">
        <v>44</v>
      </c>
      <c r="H29" s="13">
        <f>0.49+0.35+2.46+2.46+0.81+0.1+0.13+0.14+0.1+0.03+0.02+0.04+0.01</f>
        <v>7.1399999999999988</v>
      </c>
      <c r="I29" s="13">
        <f>7.14*12*I35</f>
        <v>64979.711999999992</v>
      </c>
      <c r="J29" s="13">
        <f t="shared" ref="J29:K29" si="138">7.14*12*J35</f>
        <v>66067.847999999998</v>
      </c>
      <c r="K29" s="13">
        <f t="shared" si="138"/>
        <v>34297.703999999998</v>
      </c>
      <c r="L29" s="13">
        <f t="shared" ref="L29:T29" si="139">7.14*12*L35</f>
        <v>52196.256000000001</v>
      </c>
      <c r="M29" s="13">
        <f t="shared" si="139"/>
        <v>51964.92</v>
      </c>
      <c r="N29" s="13">
        <f t="shared" si="139"/>
        <v>29448.215999999997</v>
      </c>
      <c r="O29" s="13">
        <f t="shared" si="139"/>
        <v>50499.791999999994</v>
      </c>
      <c r="P29" s="13">
        <f t="shared" si="139"/>
        <v>34640.423999999999</v>
      </c>
      <c r="Q29" s="13">
        <f t="shared" si="139"/>
        <v>44793.503999999994</v>
      </c>
      <c r="R29" s="13">
        <f t="shared" si="139"/>
        <v>29293.991999999995</v>
      </c>
      <c r="S29" s="13">
        <f t="shared" si="139"/>
        <v>63685.943999999989</v>
      </c>
      <c r="T29" s="13">
        <f t="shared" si="139"/>
        <v>34580.447999999997</v>
      </c>
      <c r="U29" s="14" t="s">
        <v>44</v>
      </c>
      <c r="V29" s="13">
        <v>1.57</v>
      </c>
      <c r="W29" s="13">
        <f t="shared" ref="W29:Z29" si="140">1.57*12*W35</f>
        <v>9851.4359999999997</v>
      </c>
      <c r="X29" s="13">
        <f t="shared" si="140"/>
        <v>6170.1</v>
      </c>
      <c r="Y29" s="13">
        <f t="shared" si="140"/>
        <v>13493.208000000001</v>
      </c>
      <c r="Z29" s="13">
        <f t="shared" si="140"/>
        <v>7443.6840000000002</v>
      </c>
      <c r="AA29" s="14" t="s">
        <v>44</v>
      </c>
      <c r="AB29" s="28">
        <f>0.73+0.12+0.05+0.13+0.28+0.3+0.03+0.02+0.05+0.03+0.5</f>
        <v>2.2400000000000002</v>
      </c>
      <c r="AC29" s="13">
        <f t="shared" ref="AC29:AL29" si="141">2.24*12*AC35</f>
        <v>19208.448000000004</v>
      </c>
      <c r="AD29" s="13">
        <f t="shared" si="141"/>
        <v>13802.880000000001</v>
      </c>
      <c r="AE29" s="13">
        <f t="shared" si="141"/>
        <v>10886.400000000001</v>
      </c>
      <c r="AF29" s="13">
        <f t="shared" si="141"/>
        <v>14004.480000000001</v>
      </c>
      <c r="AG29" s="13">
        <f t="shared" si="141"/>
        <v>14047.488000000001</v>
      </c>
      <c r="AH29" s="13">
        <f t="shared" si="141"/>
        <v>9870.3360000000011</v>
      </c>
      <c r="AI29" s="13">
        <f t="shared" si="141"/>
        <v>19186.944</v>
      </c>
      <c r="AJ29" s="13">
        <f t="shared" si="141"/>
        <v>9201.0240000000013</v>
      </c>
      <c r="AK29" s="13">
        <f t="shared" si="141"/>
        <v>14499.072</v>
      </c>
      <c r="AL29" s="13">
        <f t="shared" si="141"/>
        <v>14246.400000000001</v>
      </c>
      <c r="AM29" s="14" t="s">
        <v>44</v>
      </c>
      <c r="AN29" s="40">
        <f>0.73+0.12+0.05+0.13+0.3+0.03+0.02+0.05+0.03+0.5</f>
        <v>1.9600000000000002</v>
      </c>
      <c r="AO29" s="13">
        <f t="shared" ref="AO29:AP29" si="142">1.96*12*AO35</f>
        <v>12456.192000000001</v>
      </c>
      <c r="AP29" s="13">
        <f t="shared" si="142"/>
        <v>14328.384</v>
      </c>
      <c r="AQ29" s="13">
        <f t="shared" ref="AQ29" si="143">1.96*12*AQ35</f>
        <v>14370.72</v>
      </c>
    </row>
    <row r="30" spans="1:43" s="1" customFormat="1" ht="84.75" customHeight="1" x14ac:dyDescent="0.2">
      <c r="A30" s="82" t="s">
        <v>6</v>
      </c>
      <c r="B30" s="82"/>
      <c r="C30" s="82"/>
      <c r="D30" s="82"/>
      <c r="E30" s="82"/>
      <c r="F30" s="82"/>
      <c r="G30" s="14" t="s">
        <v>5</v>
      </c>
      <c r="H30" s="13">
        <v>1.4</v>
      </c>
      <c r="I30" s="13">
        <f>1.4*12*I35</f>
        <v>12741.119999999997</v>
      </c>
      <c r="J30" s="13">
        <f t="shared" ref="J30:K30" si="144">1.4*12*J35</f>
        <v>12954.479999999998</v>
      </c>
      <c r="K30" s="13">
        <f t="shared" si="144"/>
        <v>6725.0399999999991</v>
      </c>
      <c r="L30" s="13">
        <f t="shared" ref="L30:T30" si="145">1.4*12*L35</f>
        <v>10234.56</v>
      </c>
      <c r="M30" s="13">
        <f t="shared" si="145"/>
        <v>10189.199999999999</v>
      </c>
      <c r="N30" s="13">
        <f t="shared" si="145"/>
        <v>5774.1599999999989</v>
      </c>
      <c r="O30" s="13">
        <f t="shared" si="145"/>
        <v>9901.9199999999983</v>
      </c>
      <c r="P30" s="13">
        <f t="shared" si="145"/>
        <v>6792.2399999999989</v>
      </c>
      <c r="Q30" s="13">
        <f t="shared" si="145"/>
        <v>8783.0399999999972</v>
      </c>
      <c r="R30" s="13">
        <f t="shared" si="145"/>
        <v>5743.9199999999983</v>
      </c>
      <c r="S30" s="13">
        <f t="shared" si="145"/>
        <v>12487.439999999997</v>
      </c>
      <c r="T30" s="13">
        <f t="shared" si="145"/>
        <v>6780.48</v>
      </c>
      <c r="U30" s="14" t="s">
        <v>5</v>
      </c>
      <c r="V30" s="13">
        <v>1.85</v>
      </c>
      <c r="W30" s="13">
        <f t="shared" ref="W30:Z30" si="146">1.85*12*W35</f>
        <v>11608.380000000001</v>
      </c>
      <c r="X30" s="13">
        <f t="shared" si="146"/>
        <v>7270.5000000000009</v>
      </c>
      <c r="Y30" s="13">
        <f t="shared" si="146"/>
        <v>15899.640000000003</v>
      </c>
      <c r="Z30" s="13">
        <f t="shared" si="146"/>
        <v>8771.2200000000012</v>
      </c>
      <c r="AA30" s="14" t="s">
        <v>5</v>
      </c>
      <c r="AB30" s="28">
        <v>1.39</v>
      </c>
      <c r="AC30" s="13">
        <f t="shared" ref="AC30:AL30" si="147">1.39*12*AC35</f>
        <v>11919.528</v>
      </c>
      <c r="AD30" s="13">
        <f t="shared" si="147"/>
        <v>8565.18</v>
      </c>
      <c r="AE30" s="13">
        <f t="shared" si="147"/>
        <v>6755.4</v>
      </c>
      <c r="AF30" s="13">
        <f t="shared" si="147"/>
        <v>8690.2800000000007</v>
      </c>
      <c r="AG30" s="13">
        <f t="shared" si="147"/>
        <v>8716.9680000000008</v>
      </c>
      <c r="AH30" s="13">
        <f t="shared" si="147"/>
        <v>6124.8959999999997</v>
      </c>
      <c r="AI30" s="13">
        <f t="shared" si="147"/>
        <v>11906.183999999999</v>
      </c>
      <c r="AJ30" s="13">
        <f t="shared" si="147"/>
        <v>5709.5640000000003</v>
      </c>
      <c r="AK30" s="13">
        <f t="shared" si="147"/>
        <v>8997.1919999999991</v>
      </c>
      <c r="AL30" s="13">
        <f t="shared" si="147"/>
        <v>8840.4</v>
      </c>
      <c r="AM30" s="14" t="s">
        <v>5</v>
      </c>
      <c r="AN30" s="40">
        <v>1.39</v>
      </c>
      <c r="AO30" s="13">
        <f t="shared" ref="AO30:AP30" si="148">1.39*12*AO35</f>
        <v>8833.728000000001</v>
      </c>
      <c r="AP30" s="13">
        <f t="shared" si="148"/>
        <v>10161.456</v>
      </c>
      <c r="AQ30" s="13">
        <f t="shared" ref="AQ30" si="149">1.39*12*AQ35</f>
        <v>10191.48</v>
      </c>
    </row>
    <row r="31" spans="1:43" s="1" customFormat="1" ht="22.5" x14ac:dyDescent="0.2">
      <c r="A31" s="82" t="s">
        <v>37</v>
      </c>
      <c r="B31" s="82"/>
      <c r="C31" s="82"/>
      <c r="D31" s="82"/>
      <c r="E31" s="82"/>
      <c r="F31" s="82"/>
      <c r="G31" s="15" t="s">
        <v>45</v>
      </c>
      <c r="H31" s="13">
        <f>0.51+0.3+0.22+0.12+0.17+0.22</f>
        <v>1.5399999999999998</v>
      </c>
      <c r="I31" s="13">
        <f>1.54*12*I35</f>
        <v>14015.232</v>
      </c>
      <c r="J31" s="13">
        <f t="shared" ref="J31:K31" si="150">1.54*12*J35</f>
        <v>14249.928</v>
      </c>
      <c r="K31" s="13">
        <f t="shared" si="150"/>
        <v>7397.5440000000008</v>
      </c>
      <c r="L31" s="13">
        <f t="shared" ref="L31:T31" si="151">1.54*12*L35</f>
        <v>11258.016000000001</v>
      </c>
      <c r="M31" s="13">
        <f t="shared" si="151"/>
        <v>11208.12</v>
      </c>
      <c r="N31" s="13">
        <f t="shared" si="151"/>
        <v>6351.576</v>
      </c>
      <c r="O31" s="13">
        <f t="shared" si="151"/>
        <v>10892.111999999999</v>
      </c>
      <c r="P31" s="13">
        <f t="shared" si="151"/>
        <v>7471.4639999999999</v>
      </c>
      <c r="Q31" s="13">
        <f t="shared" si="151"/>
        <v>9661.3439999999991</v>
      </c>
      <c r="R31" s="13">
        <f t="shared" si="151"/>
        <v>6318.3119999999999</v>
      </c>
      <c r="S31" s="13">
        <f t="shared" si="151"/>
        <v>13736.183999999999</v>
      </c>
      <c r="T31" s="13">
        <f t="shared" si="151"/>
        <v>7458.5280000000002</v>
      </c>
      <c r="U31" s="15" t="s">
        <v>45</v>
      </c>
      <c r="V31" s="13">
        <v>2.1199999999999997</v>
      </c>
      <c r="W31" s="13">
        <f t="shared" ref="W31:Z31" si="152">2.12*12*W35</f>
        <v>13302.576000000001</v>
      </c>
      <c r="X31" s="13">
        <f t="shared" si="152"/>
        <v>8331.6</v>
      </c>
      <c r="Y31" s="13">
        <f t="shared" si="152"/>
        <v>18220.128000000001</v>
      </c>
      <c r="Z31" s="13">
        <f t="shared" si="152"/>
        <v>10051.344000000001</v>
      </c>
      <c r="AA31" s="15" t="s">
        <v>45</v>
      </c>
      <c r="AB31" s="28">
        <f>0.76+0.3+0.22+0.12+0.17</f>
        <v>1.5699999999999998</v>
      </c>
      <c r="AC31" s="13">
        <f t="shared" ref="AC31:AL31" si="153">1.57*12*AC35</f>
        <v>13463.064</v>
      </c>
      <c r="AD31" s="13">
        <f t="shared" si="153"/>
        <v>9674.34</v>
      </c>
      <c r="AE31" s="13">
        <f t="shared" si="153"/>
        <v>7630.2</v>
      </c>
      <c r="AF31" s="13">
        <f t="shared" si="153"/>
        <v>9815.64</v>
      </c>
      <c r="AG31" s="13">
        <f t="shared" si="153"/>
        <v>9845.7839999999997</v>
      </c>
      <c r="AH31" s="13">
        <f t="shared" si="153"/>
        <v>6918.0479999999998</v>
      </c>
      <c r="AI31" s="13">
        <f t="shared" si="153"/>
        <v>13447.991999999998</v>
      </c>
      <c r="AJ31" s="13">
        <f t="shared" si="153"/>
        <v>6448.9319999999998</v>
      </c>
      <c r="AK31" s="13">
        <f t="shared" si="153"/>
        <v>10162.296</v>
      </c>
      <c r="AL31" s="13">
        <f t="shared" si="153"/>
        <v>9985.2000000000007</v>
      </c>
      <c r="AM31" s="15" t="s">
        <v>45</v>
      </c>
      <c r="AN31" s="40">
        <v>0</v>
      </c>
      <c r="AO31" s="13">
        <f t="shared" ref="AO31:AP31" si="154">0*12*AO35</f>
        <v>0</v>
      </c>
      <c r="AP31" s="13">
        <f t="shared" si="154"/>
        <v>0</v>
      </c>
      <c r="AQ31" s="13">
        <f t="shared" ref="AQ31" si="155">0*12*AQ35</f>
        <v>0</v>
      </c>
    </row>
    <row r="32" spans="1:43" s="1" customFormat="1" x14ac:dyDescent="0.2">
      <c r="A32" s="82" t="s">
        <v>51</v>
      </c>
      <c r="B32" s="82"/>
      <c r="C32" s="82"/>
      <c r="D32" s="82"/>
      <c r="E32" s="82"/>
      <c r="F32" s="82"/>
      <c r="G32" s="13" t="s">
        <v>4</v>
      </c>
      <c r="H32" s="13">
        <v>0.87</v>
      </c>
      <c r="I32" s="13">
        <f>0.87*12*I35</f>
        <v>7917.695999999999</v>
      </c>
      <c r="J32" s="13">
        <f t="shared" ref="J32:K32" si="156">0.87*12*J35</f>
        <v>8050.2839999999997</v>
      </c>
      <c r="K32" s="13">
        <f t="shared" si="156"/>
        <v>4179.1319999999996</v>
      </c>
      <c r="L32" s="13">
        <f t="shared" ref="L32:T32" si="157">0.87*12*L35</f>
        <v>6360.0479999999998</v>
      </c>
      <c r="M32" s="13">
        <f t="shared" si="157"/>
        <v>6331.86</v>
      </c>
      <c r="N32" s="13">
        <f t="shared" si="157"/>
        <v>3588.2279999999996</v>
      </c>
      <c r="O32" s="13">
        <f t="shared" si="157"/>
        <v>6153.3359999999993</v>
      </c>
      <c r="P32" s="13">
        <f t="shared" si="157"/>
        <v>4220.8919999999998</v>
      </c>
      <c r="Q32" s="13">
        <f t="shared" si="157"/>
        <v>5458.0319999999992</v>
      </c>
      <c r="R32" s="13">
        <f t="shared" si="157"/>
        <v>3569.4359999999997</v>
      </c>
      <c r="S32" s="13">
        <f t="shared" si="157"/>
        <v>7760.0519999999988</v>
      </c>
      <c r="T32" s="13">
        <f t="shared" si="157"/>
        <v>4213.5839999999998</v>
      </c>
      <c r="U32" s="13" t="s">
        <v>4</v>
      </c>
      <c r="V32" s="13">
        <v>1.36</v>
      </c>
      <c r="W32" s="13">
        <f t="shared" ref="W32:Z32" si="158">1.36*12*W35</f>
        <v>8533.7279999999992</v>
      </c>
      <c r="X32" s="13">
        <f t="shared" si="158"/>
        <v>5344.8</v>
      </c>
      <c r="Y32" s="13">
        <f t="shared" si="158"/>
        <v>11688.384000000002</v>
      </c>
      <c r="Z32" s="13">
        <f t="shared" si="158"/>
        <v>6448.0320000000002</v>
      </c>
      <c r="AA32" s="13" t="s">
        <v>4</v>
      </c>
      <c r="AB32" s="28">
        <v>1.1499999999999999</v>
      </c>
      <c r="AC32" s="13">
        <f t="shared" ref="AC32:AL32" si="159">1.15*12*AC35</f>
        <v>9861.48</v>
      </c>
      <c r="AD32" s="13">
        <f t="shared" si="159"/>
        <v>7086.2999999999993</v>
      </c>
      <c r="AE32" s="13">
        <f t="shared" si="159"/>
        <v>5589</v>
      </c>
      <c r="AF32" s="13">
        <f t="shared" si="159"/>
        <v>7189.7999999999993</v>
      </c>
      <c r="AG32" s="13">
        <f t="shared" si="159"/>
        <v>7211.88</v>
      </c>
      <c r="AH32" s="13">
        <f t="shared" si="159"/>
        <v>5067.3599999999997</v>
      </c>
      <c r="AI32" s="13">
        <f t="shared" si="159"/>
        <v>9850.4399999999987</v>
      </c>
      <c r="AJ32" s="13">
        <f t="shared" si="159"/>
        <v>4723.74</v>
      </c>
      <c r="AK32" s="13">
        <f t="shared" si="159"/>
        <v>7443.7199999999993</v>
      </c>
      <c r="AL32" s="13">
        <f t="shared" si="159"/>
        <v>7313.9999999999991</v>
      </c>
      <c r="AM32" s="13" t="s">
        <v>4</v>
      </c>
      <c r="AN32" s="40">
        <v>0.9</v>
      </c>
      <c r="AO32" s="13">
        <f t="shared" ref="AO32:AP32" si="160">0.9*12*AO35</f>
        <v>5719.68</v>
      </c>
      <c r="AP32" s="13">
        <f t="shared" si="160"/>
        <v>6579.3600000000006</v>
      </c>
      <c r="AQ32" s="13">
        <f t="shared" ref="AQ32" si="161">0.9*12*AQ35</f>
        <v>6598.8</v>
      </c>
    </row>
    <row r="33" spans="1:47" s="1" customFormat="1" x14ac:dyDescent="0.2">
      <c r="A33" s="82" t="s">
        <v>52</v>
      </c>
      <c r="B33" s="82"/>
      <c r="C33" s="82"/>
      <c r="D33" s="82"/>
      <c r="E33" s="82"/>
      <c r="F33" s="82"/>
      <c r="G33" s="13" t="s">
        <v>8</v>
      </c>
      <c r="H33" s="13">
        <v>0.71</v>
      </c>
      <c r="I33" s="13">
        <f>0.71*12*I35</f>
        <v>6461.5679999999993</v>
      </c>
      <c r="J33" s="13">
        <f t="shared" ref="J33:K33" si="162">0.71*12*J35</f>
        <v>6569.7719999999999</v>
      </c>
      <c r="K33" s="13">
        <f t="shared" si="162"/>
        <v>3410.556</v>
      </c>
      <c r="L33" s="13">
        <f t="shared" ref="L33:T33" si="163">0.71*12*L35</f>
        <v>5190.384</v>
      </c>
      <c r="M33" s="13">
        <f t="shared" si="163"/>
        <v>5167.38</v>
      </c>
      <c r="N33" s="13">
        <f t="shared" si="163"/>
        <v>2928.3239999999996</v>
      </c>
      <c r="O33" s="13">
        <f t="shared" si="163"/>
        <v>5021.6879999999992</v>
      </c>
      <c r="P33" s="13">
        <f t="shared" si="163"/>
        <v>3444.636</v>
      </c>
      <c r="Q33" s="13">
        <f t="shared" si="163"/>
        <v>4454.2559999999994</v>
      </c>
      <c r="R33" s="13">
        <f t="shared" si="163"/>
        <v>2912.9879999999998</v>
      </c>
      <c r="S33" s="13">
        <f t="shared" si="163"/>
        <v>6332.9159999999993</v>
      </c>
      <c r="T33" s="13">
        <f t="shared" si="163"/>
        <v>3438.672</v>
      </c>
      <c r="U33" s="13" t="s">
        <v>8</v>
      </c>
      <c r="V33" s="13">
        <v>0.43</v>
      </c>
      <c r="W33" s="13">
        <f t="shared" ref="W33:Z33" si="164">0.43*12*W35</f>
        <v>2698.1639999999998</v>
      </c>
      <c r="X33" s="13">
        <f t="shared" si="164"/>
        <v>1689.9</v>
      </c>
      <c r="Y33" s="13">
        <f t="shared" si="164"/>
        <v>3695.5920000000006</v>
      </c>
      <c r="Z33" s="13">
        <f t="shared" si="164"/>
        <v>2038.7160000000001</v>
      </c>
      <c r="AA33" s="13" t="s">
        <v>8</v>
      </c>
      <c r="AB33" s="28">
        <v>0.45</v>
      </c>
      <c r="AC33" s="13">
        <f t="shared" ref="AC33:AL33" si="165">0.45*12*AC35</f>
        <v>3858.8400000000006</v>
      </c>
      <c r="AD33" s="13">
        <f t="shared" si="165"/>
        <v>2772.9</v>
      </c>
      <c r="AE33" s="13">
        <f t="shared" si="165"/>
        <v>2187</v>
      </c>
      <c r="AF33" s="13">
        <f t="shared" si="165"/>
        <v>2813.4</v>
      </c>
      <c r="AG33" s="13">
        <f t="shared" si="165"/>
        <v>2822.0400000000004</v>
      </c>
      <c r="AH33" s="13">
        <f t="shared" si="165"/>
        <v>1982.88</v>
      </c>
      <c r="AI33" s="13">
        <f t="shared" si="165"/>
        <v>3854.52</v>
      </c>
      <c r="AJ33" s="13">
        <f t="shared" si="165"/>
        <v>1848.42</v>
      </c>
      <c r="AK33" s="13">
        <f t="shared" si="165"/>
        <v>2912.76</v>
      </c>
      <c r="AL33" s="13">
        <f t="shared" si="165"/>
        <v>2862</v>
      </c>
      <c r="AM33" s="13" t="s">
        <v>8</v>
      </c>
      <c r="AN33" s="40">
        <v>0.4</v>
      </c>
      <c r="AO33" s="13">
        <f t="shared" ref="AO33:AP33" si="166">0.4*12*AO35</f>
        <v>2542.0800000000004</v>
      </c>
      <c r="AP33" s="13">
        <f t="shared" si="166"/>
        <v>2924.1600000000008</v>
      </c>
      <c r="AQ33" s="13">
        <f t="shared" ref="AQ33" si="167">0.4*12*AQ35</f>
        <v>2932.8000000000006</v>
      </c>
    </row>
    <row r="34" spans="1:47" s="1" customFormat="1" x14ac:dyDescent="0.2">
      <c r="A34" s="94" t="s">
        <v>2</v>
      </c>
      <c r="B34" s="95"/>
      <c r="C34" s="95"/>
      <c r="D34" s="95"/>
      <c r="E34" s="95"/>
      <c r="F34" s="96"/>
      <c r="G34" s="19"/>
      <c r="H34" s="19"/>
      <c r="I34" s="20">
        <f>I14+I22+I28</f>
        <v>166089.59999999998</v>
      </c>
      <c r="J34" s="20">
        <f t="shared" ref="J34:K34" si="168">J14+J22+J28</f>
        <v>168870.9</v>
      </c>
      <c r="K34" s="20">
        <f t="shared" si="168"/>
        <v>87665.7</v>
      </c>
      <c r="L34" s="20">
        <f t="shared" ref="L34:T34" si="169">L14+L22+L28</f>
        <v>133414.79999999999</v>
      </c>
      <c r="M34" s="20">
        <f t="shared" si="169"/>
        <v>132823.5</v>
      </c>
      <c r="N34" s="20">
        <f t="shared" si="169"/>
        <v>75270.3</v>
      </c>
      <c r="O34" s="20">
        <f t="shared" si="169"/>
        <v>129078.59999999999</v>
      </c>
      <c r="P34" s="20">
        <f t="shared" si="169"/>
        <v>88541.7</v>
      </c>
      <c r="Q34" s="20">
        <f t="shared" si="169"/>
        <v>114493.19999999998</v>
      </c>
      <c r="R34" s="20">
        <f t="shared" si="169"/>
        <v>74876.099999999991</v>
      </c>
      <c r="S34" s="20">
        <f t="shared" si="169"/>
        <v>162782.69999999998</v>
      </c>
      <c r="T34" s="20">
        <f t="shared" si="169"/>
        <v>88388.4</v>
      </c>
      <c r="U34" s="19"/>
      <c r="V34" s="21"/>
      <c r="W34" s="20">
        <f t="shared" ref="W34:Z34" si="170">W14+W22+W28</f>
        <v>136100.41199999998</v>
      </c>
      <c r="X34" s="20">
        <f t="shared" si="170"/>
        <v>85241.700000000012</v>
      </c>
      <c r="Y34" s="20">
        <f t="shared" si="170"/>
        <v>186412.53600000002</v>
      </c>
      <c r="Z34" s="20">
        <f t="shared" si="170"/>
        <v>102836.62800000001</v>
      </c>
      <c r="AA34" s="19"/>
      <c r="AB34" s="33"/>
      <c r="AC34" s="20">
        <f t="shared" ref="AC34" si="171">AC14+AC22+AC28</f>
        <v>146721.67200000002</v>
      </c>
      <c r="AD34" s="20">
        <f t="shared" ref="AD34:AE34" si="172">AD14+AD22+AD28</f>
        <v>105431.82</v>
      </c>
      <c r="AE34" s="20">
        <f t="shared" si="172"/>
        <v>83154.600000000006</v>
      </c>
      <c r="AF34" s="20">
        <f t="shared" ref="AF34:AI34" si="173">AF14+AF22+AF28</f>
        <v>106971.72</v>
      </c>
      <c r="AG34" s="20">
        <f t="shared" si="173"/>
        <v>107300.232</v>
      </c>
      <c r="AH34" s="20">
        <f t="shared" si="173"/>
        <v>75393.504000000001</v>
      </c>
      <c r="AI34" s="20">
        <f t="shared" si="173"/>
        <v>146557.41599999997</v>
      </c>
      <c r="AJ34" s="20">
        <f t="shared" ref="AJ34:AL34" si="174">AJ14+AJ22+AJ28</f>
        <v>70281.035999999993</v>
      </c>
      <c r="AK34" s="20">
        <f t="shared" si="174"/>
        <v>110749.60800000001</v>
      </c>
      <c r="AL34" s="20">
        <f t="shared" si="174"/>
        <v>108819.6</v>
      </c>
      <c r="AM34" s="19"/>
      <c r="AN34" s="42"/>
      <c r="AO34" s="20">
        <f t="shared" ref="AO34:AP34" si="175">AO14+AO22+AO28</f>
        <v>80901.696000000011</v>
      </c>
      <c r="AP34" s="20">
        <f t="shared" si="175"/>
        <v>93061.392000000007</v>
      </c>
      <c r="AQ34" s="20">
        <f t="shared" ref="AQ34" si="176">AQ14+AQ22+AQ28</f>
        <v>93336.359999999986</v>
      </c>
      <c r="AR34" s="45"/>
      <c r="AS34" s="45">
        <f>SUM(I34:AR34)</f>
        <v>3261567.432</v>
      </c>
      <c r="AT34" s="1">
        <f>AS34/12*0.05</f>
        <v>13589.864300000001</v>
      </c>
    </row>
    <row r="35" spans="1:47" s="24" customFormat="1" x14ac:dyDescent="0.2">
      <c r="A35" s="83" t="s">
        <v>1</v>
      </c>
      <c r="B35" s="83"/>
      <c r="C35" s="83"/>
      <c r="D35" s="83"/>
      <c r="E35" s="83"/>
      <c r="F35" s="83"/>
      <c r="G35" s="35"/>
      <c r="H35" s="36"/>
      <c r="I35" s="53" t="s">
        <v>87</v>
      </c>
      <c r="J35" s="53" t="s">
        <v>88</v>
      </c>
      <c r="K35" s="53" t="s">
        <v>89</v>
      </c>
      <c r="L35" s="53" t="s">
        <v>90</v>
      </c>
      <c r="M35" s="53" t="s">
        <v>91</v>
      </c>
      <c r="N35" s="53" t="s">
        <v>92</v>
      </c>
      <c r="O35" s="53" t="s">
        <v>93</v>
      </c>
      <c r="P35" s="53" t="s">
        <v>94</v>
      </c>
      <c r="Q35" s="53" t="s">
        <v>95</v>
      </c>
      <c r="R35" s="53" t="s">
        <v>96</v>
      </c>
      <c r="S35" s="53" t="s">
        <v>97</v>
      </c>
      <c r="T35" s="53" t="s">
        <v>98</v>
      </c>
      <c r="U35" s="37"/>
      <c r="V35" s="36"/>
      <c r="W35" s="52" t="s">
        <v>76</v>
      </c>
      <c r="X35" s="52" t="s">
        <v>77</v>
      </c>
      <c r="Y35" s="52" t="s">
        <v>78</v>
      </c>
      <c r="Z35" s="52" t="s">
        <v>79</v>
      </c>
      <c r="AA35" s="35"/>
      <c r="AB35" s="38"/>
      <c r="AC35" s="52" t="s">
        <v>68</v>
      </c>
      <c r="AD35" s="52" t="s">
        <v>69</v>
      </c>
      <c r="AE35" s="52">
        <v>405</v>
      </c>
      <c r="AF35" s="52">
        <v>521</v>
      </c>
      <c r="AG35" s="52" t="s">
        <v>70</v>
      </c>
      <c r="AH35" s="52" t="s">
        <v>71</v>
      </c>
      <c r="AI35" s="52" t="s">
        <v>72</v>
      </c>
      <c r="AJ35" s="52" t="s">
        <v>73</v>
      </c>
      <c r="AK35" s="52" t="s">
        <v>74</v>
      </c>
      <c r="AL35" s="52">
        <v>530</v>
      </c>
      <c r="AM35" s="35"/>
      <c r="AN35" s="54"/>
      <c r="AO35" s="55" t="s">
        <v>101</v>
      </c>
      <c r="AP35" s="55" t="s">
        <v>90</v>
      </c>
      <c r="AQ35" s="55">
        <v>611</v>
      </c>
      <c r="AR35" s="1"/>
      <c r="AS35" s="1"/>
      <c r="AT35" s="1"/>
      <c r="AU35" s="1"/>
    </row>
    <row r="36" spans="1:47" s="2" customFormat="1" ht="25.5" customHeight="1" x14ac:dyDescent="0.2">
      <c r="A36" s="76" t="s">
        <v>50</v>
      </c>
      <c r="B36" s="77"/>
      <c r="C36" s="77"/>
      <c r="D36" s="77"/>
      <c r="E36" s="77"/>
      <c r="F36" s="78"/>
      <c r="G36" s="22"/>
      <c r="H36" s="23">
        <f>H14+H22+H28</f>
        <v>18.249999999999996</v>
      </c>
      <c r="I36" s="23">
        <f>I34 /12/I35</f>
        <v>18.249999999999996</v>
      </c>
      <c r="J36" s="23">
        <f t="shared" ref="J36:K36" si="177">J34 /12/J35</f>
        <v>18.249999999999996</v>
      </c>
      <c r="K36" s="23">
        <f t="shared" si="177"/>
        <v>18.249999999999996</v>
      </c>
      <c r="L36" s="23">
        <f t="shared" ref="L36:T36" si="178">L34 /12/L35</f>
        <v>18.249999999999996</v>
      </c>
      <c r="M36" s="23">
        <f t="shared" si="178"/>
        <v>18.25</v>
      </c>
      <c r="N36" s="23">
        <f t="shared" si="178"/>
        <v>18.250000000000004</v>
      </c>
      <c r="O36" s="23">
        <f t="shared" si="178"/>
        <v>18.25</v>
      </c>
      <c r="P36" s="23">
        <f t="shared" si="178"/>
        <v>18.249999999999996</v>
      </c>
      <c r="Q36" s="23">
        <f t="shared" si="178"/>
        <v>18.25</v>
      </c>
      <c r="R36" s="23">
        <f t="shared" si="178"/>
        <v>18.25</v>
      </c>
      <c r="S36" s="23">
        <f t="shared" si="178"/>
        <v>18.25</v>
      </c>
      <c r="T36" s="23">
        <f t="shared" si="178"/>
        <v>18.25</v>
      </c>
      <c r="U36" s="23"/>
      <c r="V36" s="23">
        <v>21.689999999999998</v>
      </c>
      <c r="W36" s="23">
        <f t="shared" ref="W36:Z36" si="179">W34/12/W35</f>
        <v>21.689999999999998</v>
      </c>
      <c r="X36" s="23">
        <f t="shared" si="179"/>
        <v>21.690000000000005</v>
      </c>
      <c r="Y36" s="23">
        <f t="shared" si="179"/>
        <v>21.69</v>
      </c>
      <c r="Z36" s="23">
        <f t="shared" si="179"/>
        <v>21.69</v>
      </c>
      <c r="AA36" s="22"/>
      <c r="AB36" s="32">
        <f t="shared" ref="AB36" si="180">AB14+AB22+AB28</f>
        <v>17.11</v>
      </c>
      <c r="AC36" s="23">
        <f t="shared" ref="AC36" si="181">AC34/12/AC35</f>
        <v>17.110000000000003</v>
      </c>
      <c r="AD36" s="23">
        <f t="shared" ref="AD36:AE36" si="182">AD34/12/AD35</f>
        <v>17.11</v>
      </c>
      <c r="AE36" s="23">
        <f t="shared" si="182"/>
        <v>17.11</v>
      </c>
      <c r="AF36" s="23">
        <f t="shared" ref="AF36:AI36" si="183">AF34/12/AF35</f>
        <v>17.11</v>
      </c>
      <c r="AG36" s="23">
        <f t="shared" si="183"/>
        <v>17.11</v>
      </c>
      <c r="AH36" s="23">
        <f t="shared" si="183"/>
        <v>17.110000000000003</v>
      </c>
      <c r="AI36" s="23">
        <f t="shared" si="183"/>
        <v>17.109999999999996</v>
      </c>
      <c r="AJ36" s="23">
        <f t="shared" ref="AJ36:AL36" si="184">AJ34/12/AJ35</f>
        <v>17.11</v>
      </c>
      <c r="AK36" s="23">
        <f t="shared" si="184"/>
        <v>17.11</v>
      </c>
      <c r="AL36" s="23">
        <f t="shared" si="184"/>
        <v>17.110000000000003</v>
      </c>
      <c r="AM36" s="22"/>
      <c r="AN36" s="22">
        <f t="shared" ref="AN36" si="185">AN14+AN22+AN28</f>
        <v>12.73</v>
      </c>
      <c r="AO36" s="23">
        <f t="shared" ref="AO36:AP36" si="186">AO34/12/AO35</f>
        <v>12.73</v>
      </c>
      <c r="AP36" s="23">
        <f t="shared" si="186"/>
        <v>12.73</v>
      </c>
      <c r="AQ36" s="23">
        <f t="shared" ref="AQ36" si="187">AQ34/12/AQ35</f>
        <v>12.729999999999999</v>
      </c>
      <c r="AR36" s="24"/>
      <c r="AS36" s="24"/>
      <c r="AT36" s="24"/>
      <c r="AU36" s="24"/>
    </row>
    <row r="37" spans="1:47" s="2" customFormat="1" ht="25.5" customHeight="1" x14ac:dyDescent="0.2">
      <c r="A37" s="49"/>
      <c r="B37" s="49"/>
      <c r="C37" s="49"/>
      <c r="D37" s="49"/>
      <c r="E37" s="49"/>
      <c r="F37" s="49"/>
      <c r="G37" s="47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48"/>
      <c r="AB37" s="51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48"/>
      <c r="AN37" s="48"/>
      <c r="AO37" s="50"/>
      <c r="AP37" s="50"/>
      <c r="AQ37" s="50"/>
      <c r="AR37" s="24"/>
      <c r="AS37" s="24"/>
      <c r="AT37" s="24"/>
      <c r="AU37" s="24"/>
    </row>
    <row r="38" spans="1:47" s="2" customFormat="1" ht="15" customHeight="1" x14ac:dyDescent="0.2">
      <c r="A38" s="49"/>
      <c r="B38" s="49"/>
      <c r="C38" s="49"/>
      <c r="D38" s="49"/>
      <c r="E38" s="49"/>
      <c r="F38" s="49"/>
      <c r="G38" s="47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48"/>
      <c r="AB38" s="51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48"/>
      <c r="AN38" s="48"/>
      <c r="AO38" s="50"/>
      <c r="AP38" s="50"/>
      <c r="AQ38" s="50"/>
      <c r="AR38" s="24"/>
      <c r="AS38" s="24"/>
      <c r="AT38" s="24"/>
      <c r="AU38" s="24"/>
    </row>
    <row r="39" spans="1:47" s="2" customFormat="1" ht="15.75" customHeight="1" x14ac:dyDescent="0.2">
      <c r="A39" s="49"/>
      <c r="B39" s="49"/>
      <c r="C39" s="49"/>
      <c r="D39" s="49"/>
      <c r="E39" s="49"/>
      <c r="F39" s="49"/>
      <c r="G39" s="47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48"/>
      <c r="AB39" s="51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48"/>
      <c r="AN39" s="48"/>
      <c r="AO39" s="50"/>
      <c r="AP39" s="50"/>
      <c r="AQ39" s="50"/>
      <c r="AR39" s="24"/>
      <c r="AS39" s="24"/>
      <c r="AT39" s="24"/>
      <c r="AU39" s="24"/>
    </row>
    <row r="40" spans="1:47" s="2" customFormat="1" ht="13.5" customHeight="1" x14ac:dyDescent="0.2">
      <c r="A40" s="49"/>
      <c r="B40" s="49"/>
      <c r="C40" s="49"/>
      <c r="D40" s="49"/>
      <c r="E40" s="49"/>
      <c r="F40" s="49"/>
      <c r="G40" s="47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48"/>
      <c r="AB40" s="51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48"/>
      <c r="AN40" s="48"/>
      <c r="AO40" s="50"/>
      <c r="AP40" s="50"/>
      <c r="AQ40" s="50"/>
      <c r="AR40" s="24"/>
      <c r="AS40" s="24"/>
      <c r="AT40" s="24"/>
      <c r="AU40" s="24"/>
    </row>
    <row r="41" spans="1:47" s="1" customFormat="1" ht="12.75" customHeight="1" x14ac:dyDescent="0.2">
      <c r="A41" s="6"/>
      <c r="B41" s="6"/>
      <c r="C41" s="6"/>
      <c r="D41" s="6"/>
      <c r="E41" s="6"/>
      <c r="F41" s="6"/>
      <c r="G41" s="6"/>
      <c r="H41" s="7"/>
      <c r="I41" s="7"/>
      <c r="J41" s="7"/>
      <c r="K41" s="7"/>
      <c r="L41" s="9"/>
      <c r="M41" s="9"/>
      <c r="N41" s="9"/>
      <c r="O41" s="9"/>
      <c r="P41" s="9"/>
      <c r="Q41" s="9"/>
      <c r="R41" s="9"/>
      <c r="S41" s="9"/>
      <c r="T41" s="9"/>
      <c r="U41" s="6"/>
      <c r="V41" s="9"/>
      <c r="W41" s="9"/>
      <c r="X41" s="9"/>
      <c r="Y41" s="9"/>
      <c r="Z41" s="9"/>
      <c r="AA41" s="6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6"/>
      <c r="AN41" s="9"/>
      <c r="AO41" s="8"/>
      <c r="AP41" s="8"/>
      <c r="AQ41" s="8"/>
    </row>
    <row r="42" spans="1:47" s="1" customFormat="1" ht="12.75" hidden="1" customHeight="1" x14ac:dyDescent="0.2">
      <c r="A42" s="6"/>
      <c r="B42" s="6"/>
      <c r="C42" s="6"/>
      <c r="D42" s="6"/>
      <c r="E42" s="6"/>
      <c r="F42" s="6"/>
      <c r="G42" s="6"/>
      <c r="H42" s="7"/>
      <c r="I42" s="7"/>
      <c r="J42" s="7"/>
      <c r="K42" s="7"/>
      <c r="L42" s="9"/>
      <c r="M42" s="9"/>
      <c r="N42" s="9"/>
      <c r="O42" s="9"/>
      <c r="P42" s="9"/>
      <c r="Q42" s="9"/>
      <c r="R42" s="9"/>
      <c r="S42" s="9"/>
      <c r="T42" s="9"/>
      <c r="U42" s="6"/>
      <c r="V42" s="9"/>
      <c r="W42" s="9"/>
      <c r="X42" s="9"/>
      <c r="Y42" s="9"/>
      <c r="Z42" s="9"/>
      <c r="AA42" s="6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6"/>
      <c r="AN42" s="9"/>
      <c r="AO42" s="8"/>
      <c r="AP42" s="8"/>
      <c r="AQ42" s="8"/>
    </row>
    <row r="43" spans="1:47" s="1" customFormat="1" x14ac:dyDescent="0.2">
      <c r="A43" s="6"/>
      <c r="B43" s="6"/>
      <c r="C43" s="6"/>
      <c r="D43" s="6"/>
      <c r="E43" s="6"/>
      <c r="F43" s="6"/>
      <c r="G43" s="6"/>
      <c r="H43" s="7"/>
      <c r="I43" s="7"/>
      <c r="J43" s="7"/>
      <c r="K43" s="7"/>
      <c r="L43" s="9"/>
      <c r="M43" s="9"/>
      <c r="N43" s="9"/>
      <c r="O43" s="9"/>
      <c r="P43" s="9"/>
      <c r="Q43" s="9"/>
      <c r="R43" s="9"/>
      <c r="S43" s="9"/>
      <c r="T43" s="9"/>
      <c r="U43" s="6"/>
      <c r="V43" s="9"/>
      <c r="W43" s="9"/>
      <c r="X43" s="9"/>
      <c r="Y43" s="9"/>
      <c r="Z43" s="9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9"/>
      <c r="AO43" s="6"/>
      <c r="AP43" s="6"/>
      <c r="AQ43" s="6"/>
    </row>
    <row r="44" spans="1:47" s="1" customFormat="1" x14ac:dyDescent="0.2">
      <c r="A44" s="6"/>
      <c r="B44" s="6"/>
      <c r="C44" s="6"/>
      <c r="D44" s="6"/>
      <c r="E44" s="6"/>
      <c r="F44" s="6"/>
      <c r="G44" s="6"/>
      <c r="H44" s="7"/>
      <c r="I44" s="7"/>
      <c r="J44" s="7"/>
      <c r="K44" s="7"/>
      <c r="L44" s="9"/>
      <c r="M44" s="9"/>
      <c r="N44" s="9"/>
      <c r="O44" s="9"/>
      <c r="P44" s="9"/>
      <c r="Q44" s="9"/>
      <c r="R44" s="9"/>
      <c r="S44" s="9"/>
      <c r="T44" s="9"/>
      <c r="U44" s="6"/>
      <c r="V44" s="9"/>
      <c r="W44" s="9"/>
      <c r="X44" s="9"/>
      <c r="Y44" s="9"/>
      <c r="Z44" s="9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9"/>
      <c r="AO44" s="6"/>
      <c r="AP44" s="6"/>
      <c r="AQ44" s="6"/>
    </row>
    <row r="45" spans="1:47" s="1" customFormat="1" x14ac:dyDescent="0.2">
      <c r="A45" s="6" t="s">
        <v>0</v>
      </c>
      <c r="B45" s="6">
        <v>12</v>
      </c>
      <c r="C45" s="6"/>
      <c r="D45" s="6"/>
      <c r="E45" s="6"/>
      <c r="F45" s="6"/>
      <c r="G45" s="6"/>
      <c r="H45" s="7"/>
      <c r="I45" s="7"/>
      <c r="J45" s="7"/>
      <c r="K45" s="7"/>
      <c r="L45" s="9"/>
      <c r="M45" s="9"/>
      <c r="N45" s="9"/>
      <c r="O45" s="9"/>
      <c r="P45" s="9"/>
      <c r="Q45" s="9"/>
      <c r="R45" s="9"/>
      <c r="S45" s="9"/>
      <c r="T45" s="9"/>
      <c r="U45" s="6"/>
      <c r="V45" s="9"/>
      <c r="W45" s="9"/>
      <c r="X45" s="9"/>
      <c r="Y45" s="9"/>
      <c r="Z45" s="9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9"/>
      <c r="AO45" s="6"/>
      <c r="AP45" s="6"/>
      <c r="AQ45" s="6"/>
    </row>
    <row r="46" spans="1:47" s="1" customFormat="1" x14ac:dyDescent="0.2">
      <c r="A46" s="6"/>
      <c r="B46" s="6"/>
      <c r="C46" s="6"/>
      <c r="D46" s="6"/>
      <c r="E46" s="6"/>
      <c r="F46" s="6"/>
      <c r="G46" s="6"/>
      <c r="H46" s="7"/>
      <c r="I46" s="7"/>
      <c r="J46" s="7"/>
      <c r="K46" s="7"/>
      <c r="L46" s="9"/>
      <c r="M46" s="9"/>
      <c r="N46" s="9"/>
      <c r="O46" s="9"/>
      <c r="P46" s="9"/>
      <c r="Q46" s="9"/>
      <c r="R46" s="9"/>
      <c r="S46" s="9"/>
      <c r="T46" s="9"/>
      <c r="U46" s="6"/>
      <c r="V46" s="9"/>
      <c r="W46" s="9"/>
      <c r="X46" s="9"/>
      <c r="Y46" s="9"/>
      <c r="Z46" s="9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9"/>
      <c r="AO46" s="6"/>
      <c r="AP46" s="6"/>
      <c r="AQ46" s="6"/>
    </row>
  </sheetData>
  <mergeCells count="44">
    <mergeCell ref="AN7:AN8"/>
    <mergeCell ref="AA7:AA8"/>
    <mergeCell ref="AM7:AM8"/>
    <mergeCell ref="G6:T6"/>
    <mergeCell ref="U6:AB6"/>
    <mergeCell ref="AC6:AL6"/>
    <mergeCell ref="H7:H8"/>
    <mergeCell ref="V7:V8"/>
    <mergeCell ref="AB7:AB8"/>
    <mergeCell ref="U7:U8"/>
    <mergeCell ref="A34:F34"/>
    <mergeCell ref="A15:F15"/>
    <mergeCell ref="A10:F10"/>
    <mergeCell ref="A11:F11"/>
    <mergeCell ref="A12:F12"/>
    <mergeCell ref="A13:F13"/>
    <mergeCell ref="A14:F14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  <mergeCell ref="A36:F36"/>
    <mergeCell ref="A28:F28"/>
    <mergeCell ref="A29:F29"/>
    <mergeCell ref="A30:F30"/>
    <mergeCell ref="A33:F33"/>
    <mergeCell ref="A31:F31"/>
    <mergeCell ref="A32:F32"/>
    <mergeCell ref="A35:F35"/>
    <mergeCell ref="A1:G1"/>
    <mergeCell ref="A2:G2"/>
    <mergeCell ref="A3:G3"/>
    <mergeCell ref="A4:G4"/>
    <mergeCell ref="A9:F9"/>
    <mergeCell ref="A6:F8"/>
    <mergeCell ref="G7:G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2016-08-02T10:23:16Z</cp:lastPrinted>
  <dcterms:created xsi:type="dcterms:W3CDTF">2013-04-24T10:34:01Z</dcterms:created>
  <dcterms:modified xsi:type="dcterms:W3CDTF">2016-08-15T10:01:17Z</dcterms:modified>
</cp:coreProperties>
</file>