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лот1!$A$1:$BB$36</definedName>
  </definedNames>
  <calcPr calcId="152511"/>
</workbook>
</file>

<file path=xl/calcChain.xml><?xml version="1.0" encoding="utf-8"?>
<calcChain xmlns="http://schemas.openxmlformats.org/spreadsheetml/2006/main">
  <c r="AZ33" i="3" l="1"/>
  <c r="AY33" i="3"/>
  <c r="AZ32" i="3"/>
  <c r="AY32" i="3"/>
  <c r="AZ29" i="3"/>
  <c r="AY29" i="3"/>
  <c r="AZ27" i="3"/>
  <c r="AY27" i="3"/>
  <c r="AZ23" i="3"/>
  <c r="AY23" i="3"/>
  <c r="AZ20" i="3"/>
  <c r="AY20" i="3"/>
  <c r="AZ18" i="3"/>
  <c r="AY18" i="3"/>
  <c r="AZ17" i="3"/>
  <c r="AY17" i="3"/>
  <c r="AZ15" i="3"/>
  <c r="AY15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B33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B32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N28" i="3" s="1"/>
  <c r="AO31" i="3"/>
  <c r="AP31" i="3"/>
  <c r="AQ31" i="3"/>
  <c r="AR31" i="3"/>
  <c r="AS31" i="3"/>
  <c r="AT31" i="3"/>
  <c r="AU31" i="3"/>
  <c r="AV31" i="3"/>
  <c r="AB31" i="3"/>
  <c r="AC29" i="3"/>
  <c r="AD29" i="3"/>
  <c r="AE29" i="3"/>
  <c r="AF29" i="3"/>
  <c r="AG29" i="3"/>
  <c r="AH29" i="3"/>
  <c r="AI29" i="3"/>
  <c r="AJ29" i="3"/>
  <c r="AK29" i="3"/>
  <c r="AL29" i="3"/>
  <c r="AL28" i="3" s="1"/>
  <c r="AM29" i="3"/>
  <c r="AM28" i="3" s="1"/>
  <c r="AN29" i="3"/>
  <c r="AO29" i="3"/>
  <c r="AP29" i="3"/>
  <c r="AQ29" i="3"/>
  <c r="AR29" i="3"/>
  <c r="AS29" i="3"/>
  <c r="AT29" i="3"/>
  <c r="AU29" i="3"/>
  <c r="AV29" i="3"/>
  <c r="AB29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B27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B23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B20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B18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B17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B15" i="3"/>
  <c r="W29" i="3"/>
  <c r="X29" i="3"/>
  <c r="Y29" i="3"/>
  <c r="V29" i="3"/>
  <c r="V28" i="3" s="1"/>
  <c r="W23" i="3"/>
  <c r="X23" i="3"/>
  <c r="Y23" i="3"/>
  <c r="V23" i="3"/>
  <c r="W32" i="3"/>
  <c r="X32" i="3"/>
  <c r="Y32" i="3"/>
  <c r="V32" i="3"/>
  <c r="W31" i="3"/>
  <c r="X31" i="3"/>
  <c r="Y31" i="3"/>
  <c r="V31" i="3"/>
  <c r="W27" i="3"/>
  <c r="X27" i="3"/>
  <c r="Y27" i="3"/>
  <c r="V27" i="3"/>
  <c r="W20" i="3"/>
  <c r="X20" i="3"/>
  <c r="Y20" i="3"/>
  <c r="V20" i="3"/>
  <c r="W18" i="3"/>
  <c r="X18" i="3"/>
  <c r="Y18" i="3"/>
  <c r="V18" i="3"/>
  <c r="W17" i="3"/>
  <c r="X17" i="3"/>
  <c r="Y17" i="3"/>
  <c r="V17" i="3"/>
  <c r="W16" i="3"/>
  <c r="X16" i="3"/>
  <c r="Y16" i="3"/>
  <c r="V16" i="3"/>
  <c r="W15" i="3"/>
  <c r="X15" i="3"/>
  <c r="Y15" i="3"/>
  <c r="V15" i="3"/>
  <c r="U28" i="3"/>
  <c r="U22" i="3"/>
  <c r="N33" i="3"/>
  <c r="N32" i="3"/>
  <c r="N23" i="3"/>
  <c r="N17" i="3"/>
  <c r="N15" i="3"/>
  <c r="N29" i="3"/>
  <c r="N27" i="3"/>
  <c r="N20" i="3"/>
  <c r="N18" i="3"/>
  <c r="N16" i="3"/>
  <c r="J23" i="3"/>
  <c r="K23" i="3"/>
  <c r="I23" i="3"/>
  <c r="J33" i="3"/>
  <c r="K33" i="3"/>
  <c r="I33" i="3"/>
  <c r="J32" i="3"/>
  <c r="K32" i="3"/>
  <c r="I32" i="3"/>
  <c r="J31" i="3"/>
  <c r="K31" i="3"/>
  <c r="I31" i="3"/>
  <c r="J30" i="3"/>
  <c r="K30" i="3"/>
  <c r="I30" i="3"/>
  <c r="J29" i="3"/>
  <c r="K29" i="3"/>
  <c r="I29" i="3"/>
  <c r="J27" i="3"/>
  <c r="K27" i="3"/>
  <c r="I27" i="3"/>
  <c r="J20" i="3"/>
  <c r="K20" i="3"/>
  <c r="I20" i="3"/>
  <c r="J17" i="3"/>
  <c r="K17" i="3"/>
  <c r="I17" i="3"/>
  <c r="J16" i="3"/>
  <c r="K16" i="3"/>
  <c r="I16" i="3"/>
  <c r="J15" i="3"/>
  <c r="K15" i="3"/>
  <c r="I15" i="3"/>
  <c r="W33" i="3"/>
  <c r="X33" i="3"/>
  <c r="Y33" i="3"/>
  <c r="Y28" i="3" s="1"/>
  <c r="W30" i="3"/>
  <c r="X30" i="3"/>
  <c r="Y30" i="3"/>
  <c r="W26" i="3"/>
  <c r="X26" i="3"/>
  <c r="Y26" i="3"/>
  <c r="W21" i="3"/>
  <c r="X21" i="3"/>
  <c r="Y21" i="3"/>
  <c r="W19" i="3"/>
  <c r="X19" i="3"/>
  <c r="Y19" i="3"/>
  <c r="V33" i="3"/>
  <c r="V30" i="3"/>
  <c r="V21" i="3"/>
  <c r="U14" i="3"/>
  <c r="U36" i="3" s="1"/>
  <c r="BB33" i="3"/>
  <c r="BB32" i="3"/>
  <c r="BB30" i="3"/>
  <c r="BB29" i="3"/>
  <c r="BB27" i="3"/>
  <c r="BB21" i="3"/>
  <c r="BB20" i="3"/>
  <c r="BB18" i="3"/>
  <c r="BB17" i="3"/>
  <c r="BB16" i="3"/>
  <c r="BB15" i="3"/>
  <c r="AZ30" i="3"/>
  <c r="AY30" i="3"/>
  <c r="AZ21" i="3"/>
  <c r="AY21" i="3"/>
  <c r="AZ16" i="3"/>
  <c r="AY16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B30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B21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B16" i="3"/>
  <c r="X28" i="3"/>
  <c r="W28" i="3"/>
  <c r="V26" i="3"/>
  <c r="Y25" i="3"/>
  <c r="X25" i="3"/>
  <c r="W25" i="3"/>
  <c r="V25" i="3"/>
  <c r="Y24" i="3"/>
  <c r="X24" i="3"/>
  <c r="W24" i="3"/>
  <c r="V24" i="3"/>
  <c r="V19" i="3"/>
  <c r="Y14" i="3"/>
  <c r="R33" i="3"/>
  <c r="S33" i="3"/>
  <c r="Q33" i="3"/>
  <c r="R32" i="3"/>
  <c r="S32" i="3"/>
  <c r="Q32" i="3"/>
  <c r="R31" i="3"/>
  <c r="S31" i="3"/>
  <c r="Q31" i="3"/>
  <c r="R30" i="3"/>
  <c r="S30" i="3"/>
  <c r="S28" i="3" s="1"/>
  <c r="Q30" i="3"/>
  <c r="R29" i="3"/>
  <c r="S29" i="3"/>
  <c r="Q29" i="3"/>
  <c r="R27" i="3"/>
  <c r="S27" i="3"/>
  <c r="Q27" i="3"/>
  <c r="R23" i="3"/>
  <c r="S23" i="3"/>
  <c r="Q23" i="3"/>
  <c r="R21" i="3"/>
  <c r="S21" i="3"/>
  <c r="Q21" i="3"/>
  <c r="R20" i="3"/>
  <c r="S20" i="3"/>
  <c r="Q20" i="3"/>
  <c r="R19" i="3"/>
  <c r="S19" i="3"/>
  <c r="R18" i="3"/>
  <c r="S18" i="3"/>
  <c r="Q18" i="3"/>
  <c r="R17" i="3"/>
  <c r="S17" i="3"/>
  <c r="Q17" i="3"/>
  <c r="R16" i="3"/>
  <c r="R14" i="3" s="1"/>
  <c r="S16" i="3"/>
  <c r="Q16" i="3"/>
  <c r="R15" i="3"/>
  <c r="S15" i="3"/>
  <c r="S14" i="3" s="1"/>
  <c r="Q15" i="3"/>
  <c r="S26" i="3"/>
  <c r="R26" i="3"/>
  <c r="Q26" i="3"/>
  <c r="S25" i="3"/>
  <c r="R25" i="3"/>
  <c r="Q25" i="3"/>
  <c r="S24" i="3"/>
  <c r="R24" i="3"/>
  <c r="Q24" i="3"/>
  <c r="R22" i="3"/>
  <c r="Q19" i="3"/>
  <c r="P36" i="3"/>
  <c r="BB31" i="3"/>
  <c r="BB26" i="3"/>
  <c r="BB25" i="3"/>
  <c r="BB24" i="3"/>
  <c r="BB23" i="3"/>
  <c r="BB19" i="3"/>
  <c r="BA29" i="3"/>
  <c r="BA27" i="3"/>
  <c r="BA22" i="3" s="1"/>
  <c r="BA17" i="3"/>
  <c r="BA14" i="3" s="1"/>
  <c r="BA9" i="3"/>
  <c r="AX22" i="3"/>
  <c r="AX14" i="3"/>
  <c r="AX9" i="3"/>
  <c r="AP26" i="3"/>
  <c r="AO26" i="3"/>
  <c r="AN26" i="3"/>
  <c r="AM26" i="3"/>
  <c r="AL26" i="3"/>
  <c r="AP25" i="3"/>
  <c r="AP22" i="3" s="1"/>
  <c r="AO25" i="3"/>
  <c r="AN25" i="3"/>
  <c r="AM25" i="3"/>
  <c r="AL25" i="3"/>
  <c r="AL22" i="3" s="1"/>
  <c r="AP24" i="3"/>
  <c r="AO24" i="3"/>
  <c r="AN24" i="3"/>
  <c r="AM24" i="3"/>
  <c r="AM22" i="3" s="1"/>
  <c r="AL24" i="3"/>
  <c r="AP19" i="3"/>
  <c r="AP14" i="3" s="1"/>
  <c r="AO19" i="3"/>
  <c r="AN19" i="3"/>
  <c r="AM19" i="3"/>
  <c r="AL19" i="3"/>
  <c r="AA22" i="3"/>
  <c r="AA14" i="3"/>
  <c r="AA9" i="3"/>
  <c r="J26" i="3"/>
  <c r="J25" i="3"/>
  <c r="J24" i="3"/>
  <c r="J21" i="3"/>
  <c r="J19" i="3"/>
  <c r="J18" i="3"/>
  <c r="J9" i="3"/>
  <c r="BA28" i="3"/>
  <c r="AZ26" i="3"/>
  <c r="AZ19" i="3"/>
  <c r="AZ31" i="3"/>
  <c r="AZ25" i="3"/>
  <c r="AZ24" i="3"/>
  <c r="AY31" i="3"/>
  <c r="AY26" i="3"/>
  <c r="AY25" i="3"/>
  <c r="AY24" i="3"/>
  <c r="AY19" i="3"/>
  <c r="AO22" i="3" l="1"/>
  <c r="BB28" i="3"/>
  <c r="R28" i="3"/>
  <c r="R34" i="3" s="1"/>
  <c r="R36" i="3" s="1"/>
  <c r="X22" i="3"/>
  <c r="U34" i="3"/>
  <c r="S22" i="3"/>
  <c r="S34" i="3" s="1"/>
  <c r="S36" i="3" s="1"/>
  <c r="W14" i="3"/>
  <c r="Y22" i="3"/>
  <c r="Y34" i="3" s="1"/>
  <c r="Y36" i="3" s="1"/>
  <c r="W22" i="3"/>
  <c r="AN22" i="3"/>
  <c r="AO28" i="3"/>
  <c r="AM14" i="3"/>
  <c r="AM34" i="3" s="1"/>
  <c r="AM36" i="3" s="1"/>
  <c r="V14" i="3"/>
  <c r="X14" i="3"/>
  <c r="V22" i="3"/>
  <c r="AO14" i="3"/>
  <c r="AO34" i="3" s="1"/>
  <c r="AO36" i="3" s="1"/>
  <c r="X34" i="3"/>
  <c r="X36" i="3" s="1"/>
  <c r="Q28" i="3"/>
  <c r="Q22" i="3"/>
  <c r="Q14" i="3"/>
  <c r="BB22" i="3"/>
  <c r="J22" i="3"/>
  <c r="AP28" i="3"/>
  <c r="AL14" i="3"/>
  <c r="AL34" i="3" s="1"/>
  <c r="AL36" i="3" s="1"/>
  <c r="AN14" i="3"/>
  <c r="J14" i="3"/>
  <c r="J28" i="3"/>
  <c r="AA28" i="3"/>
  <c r="AA36" i="3" s="1"/>
  <c r="BB14" i="3"/>
  <c r="AP34" i="3"/>
  <c r="AP36" i="3" s="1"/>
  <c r="AX28" i="3"/>
  <c r="AX36" i="3" s="1"/>
  <c r="BA36" i="3"/>
  <c r="AZ28" i="3"/>
  <c r="AZ14" i="3"/>
  <c r="AZ22" i="3"/>
  <c r="AY28" i="3"/>
  <c r="AY22" i="3"/>
  <c r="AY14" i="3"/>
  <c r="Q34" i="3" l="1"/>
  <c r="Q36" i="3" s="1"/>
  <c r="AN34" i="3"/>
  <c r="AN36" i="3" s="1"/>
  <c r="J34" i="3"/>
  <c r="J36" i="3" s="1"/>
  <c r="V34" i="3"/>
  <c r="V36" i="3" s="1"/>
  <c r="W34" i="3"/>
  <c r="W36" i="3" s="1"/>
  <c r="BB34" i="3"/>
  <c r="BB36" i="3" s="1"/>
  <c r="AZ34" i="3"/>
  <c r="AZ36" i="3" s="1"/>
  <c r="AY34" i="3"/>
  <c r="AY36" i="3" s="1"/>
  <c r="AV28" i="3" l="1"/>
  <c r="AU28" i="3"/>
  <c r="AT28" i="3"/>
  <c r="AS28" i="3"/>
  <c r="AR28" i="3"/>
  <c r="AQ28" i="3"/>
  <c r="AK28" i="3"/>
  <c r="AJ28" i="3"/>
  <c r="AV26" i="3"/>
  <c r="AU26" i="3"/>
  <c r="AT26" i="3"/>
  <c r="AS26" i="3"/>
  <c r="AR26" i="3"/>
  <c r="AQ26" i="3"/>
  <c r="AK26" i="3"/>
  <c r="AJ26" i="3"/>
  <c r="AV25" i="3"/>
  <c r="AU25" i="3"/>
  <c r="AT25" i="3"/>
  <c r="AS25" i="3"/>
  <c r="AR25" i="3"/>
  <c r="AQ25" i="3"/>
  <c r="AK25" i="3"/>
  <c r="AJ25" i="3"/>
  <c r="AV24" i="3"/>
  <c r="AU24" i="3"/>
  <c r="AT24" i="3"/>
  <c r="AS24" i="3"/>
  <c r="AR24" i="3"/>
  <c r="AQ24" i="3"/>
  <c r="AK24" i="3"/>
  <c r="AJ24" i="3"/>
  <c r="AV22" i="3"/>
  <c r="AU22" i="3"/>
  <c r="AT22" i="3"/>
  <c r="AS22" i="3"/>
  <c r="AR22" i="3"/>
  <c r="AQ22" i="3"/>
  <c r="AK22" i="3"/>
  <c r="AJ22" i="3"/>
  <c r="AV19" i="3"/>
  <c r="AU19" i="3"/>
  <c r="AT19" i="3"/>
  <c r="AS19" i="3"/>
  <c r="AR19" i="3"/>
  <c r="AQ19" i="3"/>
  <c r="AK19" i="3"/>
  <c r="AJ19" i="3"/>
  <c r="AV14" i="3"/>
  <c r="AV34" i="3" s="1"/>
  <c r="AV36" i="3" s="1"/>
  <c r="AU14" i="3"/>
  <c r="AU34" i="3" s="1"/>
  <c r="AU36" i="3" s="1"/>
  <c r="AT14" i="3"/>
  <c r="AT34" i="3" s="1"/>
  <c r="AT36" i="3" s="1"/>
  <c r="AS14" i="3"/>
  <c r="AS34" i="3" s="1"/>
  <c r="AS36" i="3" s="1"/>
  <c r="AR14" i="3"/>
  <c r="AR34" i="3" s="1"/>
  <c r="AR36" i="3" s="1"/>
  <c r="AQ14" i="3"/>
  <c r="AQ34" i="3" s="1"/>
  <c r="AQ36" i="3" s="1"/>
  <c r="AK14" i="3"/>
  <c r="AK34" i="3" s="1"/>
  <c r="AK36" i="3" s="1"/>
  <c r="AJ14" i="3"/>
  <c r="AJ34" i="3" s="1"/>
  <c r="AJ36" i="3" s="1"/>
  <c r="AI28" i="3"/>
  <c r="AH28" i="3"/>
  <c r="AG28" i="3"/>
  <c r="AF28" i="3"/>
  <c r="AI26" i="3"/>
  <c r="AH26" i="3"/>
  <c r="AG26" i="3"/>
  <c r="AF26" i="3"/>
  <c r="AI25" i="3"/>
  <c r="AH25" i="3"/>
  <c r="AG25" i="3"/>
  <c r="AF25" i="3"/>
  <c r="AI24" i="3"/>
  <c r="AH24" i="3"/>
  <c r="AG24" i="3"/>
  <c r="AG22" i="3" s="1"/>
  <c r="AF24" i="3"/>
  <c r="AF22" i="3" s="1"/>
  <c r="AI22" i="3"/>
  <c r="AH22" i="3"/>
  <c r="AI19" i="3"/>
  <c r="AH19" i="3"/>
  <c r="AG19" i="3"/>
  <c r="AG14" i="3" s="1"/>
  <c r="AG34" i="3" s="1"/>
  <c r="AG36" i="3" s="1"/>
  <c r="AF19" i="3"/>
  <c r="AF14" i="3" s="1"/>
  <c r="AI14" i="3"/>
  <c r="AI34" i="3" s="1"/>
  <c r="AI36" i="3" s="1"/>
  <c r="AH14" i="3"/>
  <c r="AH34" i="3" s="1"/>
  <c r="AH36" i="3" s="1"/>
  <c r="AE28" i="3"/>
  <c r="AD28" i="3"/>
  <c r="AE26" i="3"/>
  <c r="AD26" i="3"/>
  <c r="AE25" i="3"/>
  <c r="AD25" i="3"/>
  <c r="AE24" i="3"/>
  <c r="AE22" i="3" s="1"/>
  <c r="AD24" i="3"/>
  <c r="AD22" i="3" s="1"/>
  <c r="AE19" i="3"/>
  <c r="AE14" i="3" s="1"/>
  <c r="AE34" i="3" s="1"/>
  <c r="AE36" i="3" s="1"/>
  <c r="AD19" i="3"/>
  <c r="AD14" i="3" s="1"/>
  <c r="AC26" i="3"/>
  <c r="AC25" i="3"/>
  <c r="AC24" i="3"/>
  <c r="AC19" i="3"/>
  <c r="AB26" i="3"/>
  <c r="AB25" i="3"/>
  <c r="AB24" i="3"/>
  <c r="AB19" i="3"/>
  <c r="AD34" i="3" l="1"/>
  <c r="AD36" i="3" s="1"/>
  <c r="AF34" i="3"/>
  <c r="AF36" i="3" s="1"/>
  <c r="AC22" i="3"/>
  <c r="AC14" i="3"/>
  <c r="AC28" i="3"/>
  <c r="AB22" i="3"/>
  <c r="AB28" i="3"/>
  <c r="AB14" i="3"/>
  <c r="AC34" i="3" l="1"/>
  <c r="AC36" i="3" s="1"/>
  <c r="AB34" i="3"/>
  <c r="AB36" i="3" s="1"/>
  <c r="N31" i="3" l="1"/>
  <c r="N30" i="3"/>
  <c r="N21" i="3"/>
  <c r="N26" i="3"/>
  <c r="N25" i="3"/>
  <c r="N24" i="3"/>
  <c r="N19" i="3"/>
  <c r="M31" i="3"/>
  <c r="M22" i="3"/>
  <c r="M14" i="3"/>
  <c r="M9" i="3"/>
  <c r="N28" i="3" l="1"/>
  <c r="M28" i="3"/>
  <c r="M36" i="3" s="1"/>
  <c r="N14" i="3"/>
  <c r="N22" i="3"/>
  <c r="K26" i="3"/>
  <c r="K25" i="3"/>
  <c r="K24" i="3"/>
  <c r="K21" i="3"/>
  <c r="K19" i="3"/>
  <c r="K18" i="3"/>
  <c r="K9" i="3"/>
  <c r="I9" i="3"/>
  <c r="I26" i="3"/>
  <c r="I25" i="3"/>
  <c r="I24" i="3"/>
  <c r="I21" i="3"/>
  <c r="I19" i="3"/>
  <c r="I18" i="3"/>
  <c r="N34" i="3" l="1"/>
  <c r="N36" i="3" s="1"/>
  <c r="K14" i="3"/>
  <c r="K28" i="3"/>
  <c r="K22" i="3"/>
  <c r="I22" i="3"/>
  <c r="I14" i="3"/>
  <c r="I28" i="3"/>
  <c r="H14" i="3"/>
  <c r="H26" i="3"/>
  <c r="K34" i="3" l="1"/>
  <c r="K36" i="3" s="1"/>
  <c r="I34" i="3"/>
  <c r="I36" i="3" s="1"/>
  <c r="H28" i="3"/>
  <c r="H22" i="3"/>
  <c r="H9" i="3"/>
  <c r="BC34" i="3" l="1"/>
  <c r="BD34" i="3" s="1"/>
  <c r="H36" i="3"/>
</calcChain>
</file>

<file path=xl/sharedStrings.xml><?xml version="1.0" encoding="utf-8"?>
<sst xmlns="http://schemas.openxmlformats.org/spreadsheetml/2006/main" count="284" uniqueCount="125">
  <si>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</si>
  <si>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</si>
  <si>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</si>
  <si>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</si>
  <si>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</si>
  <si>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</si>
  <si>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</si>
  <si>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</si>
  <si>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</si>
  <si>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</si>
  <si>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</si>
  <si>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</si>
  <si>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</si>
  <si>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</si>
  <si>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</si>
  <si>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</si>
  <si>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</si>
  <si>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</si>
  <si>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</si>
  <si>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</si>
  <si>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</si>
  <si>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</si>
  <si>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</si>
  <si>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</si>
  <si>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</si>
  <si>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</si>
  <si>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</si>
  <si>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</si>
  <si>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</si>
  <si>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</si>
  <si>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</si>
  <si>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</si>
  <si>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</si>
  <si>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</si>
  <si>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</si>
  <si>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</si>
  <si>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</si>
  <si>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</si>
  <si>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</si>
  <si>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</si>
  <si>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</si>
  <si>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</si>
  <si>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</si>
  <si>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</si>
  <si>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</si>
  <si>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</si>
  <si>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</si>
  <si>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</si>
  <si>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</si>
  <si>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</si>
  <si>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</si>
  <si>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</si>
  <si>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деревянный благоустроенный без центр отопления</t>
  </si>
  <si>
    <t>к извещению и конкурсной документации</t>
  </si>
  <si>
    <t>Приложение № 2</t>
  </si>
  <si>
    <t>26</t>
  </si>
  <si>
    <t>Жилой район Соломбальский   териториальный  округ (Хабарка)</t>
  </si>
  <si>
    <t>Восьмое марта ул.</t>
  </si>
  <si>
    <t>ДЕКАБРИСТОВ ул.</t>
  </si>
  <si>
    <t>3</t>
  </si>
  <si>
    <t>5</t>
  </si>
  <si>
    <t>7</t>
  </si>
  <si>
    <t>752,1</t>
  </si>
  <si>
    <t>265,8</t>
  </si>
  <si>
    <t>554,1</t>
  </si>
  <si>
    <t>20</t>
  </si>
  <si>
    <t>705,9</t>
  </si>
  <si>
    <t>деревянный не благоустроенный без канализации и центр отопления</t>
  </si>
  <si>
    <t>ПРИМОРСКАЯ ул.</t>
  </si>
  <si>
    <t>6</t>
  </si>
  <si>
    <t>13</t>
  </si>
  <si>
    <t>21, 1</t>
  </si>
  <si>
    <t>543,5</t>
  </si>
  <si>
    <t>420,3</t>
  </si>
  <si>
    <t>707,7</t>
  </si>
  <si>
    <t>деревянный не благоустроенный без канализации и центр отопления (септик) с водой</t>
  </si>
  <si>
    <t xml:space="preserve">РАСЧАЛКА, 1-я ЛИНИЯ </t>
  </si>
  <si>
    <t>9</t>
  </si>
  <si>
    <t>12, 1</t>
  </si>
  <si>
    <t>14</t>
  </si>
  <si>
    <t>8</t>
  </si>
  <si>
    <t>10</t>
  </si>
  <si>
    <t>15</t>
  </si>
  <si>
    <t>16</t>
  </si>
  <si>
    <t>18</t>
  </si>
  <si>
    <t>12, 2</t>
  </si>
  <si>
    <t>17</t>
  </si>
  <si>
    <t>17, 1</t>
  </si>
  <si>
    <t>20, 2</t>
  </si>
  <si>
    <t>21</t>
  </si>
  <si>
    <t>22, 5</t>
  </si>
  <si>
    <t>23</t>
  </si>
  <si>
    <t>510,9</t>
  </si>
  <si>
    <t>498,9</t>
  </si>
  <si>
    <t>519,3</t>
  </si>
  <si>
    <t>565,3</t>
  </si>
  <si>
    <t>535,7</t>
  </si>
  <si>
    <t>590</t>
  </si>
  <si>
    <t>447,6</t>
  </si>
  <si>
    <t>447,8</t>
  </si>
  <si>
    <t>507,7</t>
  </si>
  <si>
    <t>509</t>
  </si>
  <si>
    <t>503,6</t>
  </si>
  <si>
    <t>453,8</t>
  </si>
  <si>
    <t>711,6</t>
  </si>
  <si>
    <t>715</t>
  </si>
  <si>
    <t>517,8</t>
  </si>
  <si>
    <t>516,4</t>
  </si>
  <si>
    <t>710,4</t>
  </si>
  <si>
    <t>511,5</t>
  </si>
  <si>
    <t>502,5</t>
  </si>
  <si>
    <t>75,9</t>
  </si>
  <si>
    <t>МВК    деревянный не благоустроенный без канализации и центр отопления (септик) с водой</t>
  </si>
  <si>
    <t>6, 1</t>
  </si>
  <si>
    <t>20, 3</t>
  </si>
  <si>
    <t>696</t>
  </si>
  <si>
    <t>517,5</t>
  </si>
  <si>
    <t>МВК  деревянный не благоустроенный без канализации</t>
  </si>
  <si>
    <t>11</t>
  </si>
  <si>
    <t>191,7</t>
  </si>
  <si>
    <t>522,1</t>
  </si>
  <si>
    <t>486,4</t>
  </si>
  <si>
    <t>519,8</t>
  </si>
  <si>
    <t>529,4</t>
  </si>
  <si>
    <t>деревянный не благоустроенный с центр отопленим без канализ с водой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</si>
</sst>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/>
    </xf>
    <xf numFmtId="4" fontId="7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/>
    <xf numFmtId="0" fontId="6" fillId="0" borderId="0" xfId="0" applyFont="1" applyAlignment="1">
      <alignment horizontal="right"/>
    </xf>
    <xf numFmtId="0" fontId="11" fillId="0" borderId="0" xfId="0" applyNumberFormat="1" applyFont="1" applyAlignment="1"/>
    <xf numFmtId="4" fontId="2" fillId="0" borderId="0" xfId="0" applyNumberFormat="1" applyFont="1" applyAlignment="1"/>
    <xf numFmtId="4" fontId="7" fillId="2" borderId="0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9" fontId="13" fillId="2" borderId="18" xfId="0" applyNumberFormat="1" applyFont="1" applyFill="1" applyBorder="1" applyAlignment="1">
      <alignment horizontal="left" wrapText="1"/>
    </xf>
    <xf numFmtId="4" fontId="4" fillId="0" borderId="15" xfId="0" applyNumberFormat="1" applyFont="1" applyFill="1" applyBorder="1" applyAlignment="1">
      <alignment horizontal="center"/>
    </xf>
    <xf numFmtId="4" fontId="7" fillId="2" borderId="19" xfId="0" applyNumberFormat="1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49" fontId="13" fillId="2" borderId="16" xfId="0" applyNumberFormat="1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 vertical="center"/>
    </xf>
    <xf numFmtId="4" fontId="7" fillId="0" borderId="20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4" fontId="7" fillId="0" borderId="17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7" fillId="2" borderId="17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20" xfId="0" applyNumberFormat="1" applyFont="1" applyFill="1" applyBorder="1" applyAlignment="1">
      <alignment horizontal="left" vertical="top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17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right" vertical="center"/>
    </xf>
    <xf numFmtId="4" fontId="14" fillId="2" borderId="18" xfId="0" applyNumberFormat="1" applyFont="1" applyFill="1" applyBorder="1" applyAlignment="1">
      <alignment horizontal="center" vertical="center" wrapText="1"/>
    </xf>
    <xf numFmtId="4" fontId="14" fillId="2" borderId="16" xfId="0" applyNumberFormat="1" applyFont="1" applyFill="1" applyBorder="1" applyAlignment="1">
      <alignment horizontal="center" vertical="center" wrapText="1"/>
    </xf>
    <xf numFmtId="4" fontId="14" fillId="3" borderId="18" xfId="0" applyNumberFormat="1" applyFont="1" applyFill="1" applyBorder="1" applyAlignment="1">
      <alignment horizontal="center" vertical="center" wrapText="1"/>
    </xf>
    <xf numFmtId="4" fontId="14" fillId="3" borderId="16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4"/>
  <sheetViews>
    <sheetView tabSelected="1" view="pageBreakPreview" topLeftCell="A4" zoomScaleNormal="100" zoomScaleSheetLayoutView="100" workbookViewId="0">
      <selection activeCell="BC34" sqref="BC34"/>
    </sheetView>
  </sheetViews>
  <sheetFormatPr defaultRowHeight="12.75" x14ac:dyDescent="0.2"/>
  <cols>
    <col min="1" max="1" width="9.140625" style="4" customWidth="1"/>
    <col min="2" max="5" width="9.140625" style="4"/>
    <col min="6" max="6" width="20.7109375" style="4" customWidth="1"/>
    <col min="7" max="7" width="17.28515625" style="4" customWidth="1"/>
    <col min="8" max="8" width="13.140625" style="5" customWidth="1"/>
    <col min="9" max="9" width="12.140625" style="5" customWidth="1"/>
    <col min="10" max="10" width="13.85546875" style="7" customWidth="1"/>
    <col min="11" max="11" width="13.5703125" style="5" customWidth="1"/>
    <col min="12" max="12" width="17.85546875" style="4" customWidth="1"/>
    <col min="13" max="13" width="13.28515625" style="4" customWidth="1"/>
    <col min="14" max="14" width="13.85546875" style="4" customWidth="1"/>
    <col min="15" max="15" width="17.5703125" style="4" customWidth="1"/>
    <col min="16" max="16" width="15" style="4" customWidth="1"/>
    <col min="17" max="17" width="13.7109375" style="4" customWidth="1"/>
    <col min="18" max="18" width="13.28515625" style="4" customWidth="1"/>
    <col min="19" max="19" width="13.7109375" style="4" customWidth="1"/>
    <col min="20" max="20" width="17.28515625" style="4" customWidth="1"/>
    <col min="21" max="21" width="14.5703125" style="4" customWidth="1"/>
    <col min="22" max="22" width="13.5703125" style="4" customWidth="1"/>
    <col min="23" max="23" width="13.28515625" style="4" customWidth="1"/>
    <col min="24" max="24" width="13.140625" style="4" customWidth="1"/>
    <col min="25" max="25" width="13.28515625" style="4" customWidth="1"/>
    <col min="26" max="26" width="17.7109375" style="4" customWidth="1"/>
    <col min="27" max="27" width="14.5703125" style="7" customWidth="1"/>
    <col min="28" max="28" width="8.85546875" style="4" customWidth="1"/>
    <col min="29" max="29" width="8.7109375" style="4" customWidth="1"/>
    <col min="30" max="30" width="8.85546875" style="4" customWidth="1"/>
    <col min="31" max="38" width="10.42578125" style="4" customWidth="1"/>
    <col min="39" max="39" width="12.42578125" style="4" customWidth="1"/>
    <col min="40" max="40" width="12.28515625" style="4" customWidth="1"/>
    <col min="41" max="41" width="11.85546875" style="4" customWidth="1"/>
    <col min="42" max="42" width="12.42578125" style="4" customWidth="1"/>
    <col min="43" max="43" width="13.140625" style="4" customWidth="1"/>
    <col min="44" max="44" width="13" style="4" customWidth="1"/>
    <col min="45" max="45" width="13.140625" style="4" customWidth="1"/>
    <col min="46" max="46" width="13.5703125" style="4" customWidth="1"/>
    <col min="47" max="47" width="13.140625" style="4" customWidth="1"/>
    <col min="48" max="48" width="11.5703125" style="4" customWidth="1"/>
    <col min="49" max="49" width="17.5703125" style="4" customWidth="1"/>
    <col min="50" max="50" width="15" customWidth="1"/>
    <col min="51" max="52" width="13.85546875" style="4" customWidth="1"/>
    <col min="53" max="53" width="13" customWidth="1"/>
    <col min="54" max="54" width="11.5703125" style="4" customWidth="1"/>
    <col min="55" max="55" width="13.5703125" customWidth="1"/>
  </cols>
  <sheetData>
    <row r="1" spans="1:64" s="1" customFormat="1" ht="16.5" customHeight="1" x14ac:dyDescent="0.25">
      <c r="A1" s="91" t="s">
        <v>24</v>
      </c>
      <c r="B1" s="91"/>
      <c r="C1" s="91"/>
      <c r="D1" s="91"/>
      <c r="E1" s="91"/>
      <c r="F1" s="91"/>
      <c r="G1" s="91"/>
      <c r="H1" s="5"/>
      <c r="I1" s="28"/>
      <c r="J1" s="28"/>
      <c r="K1" s="29" t="s">
        <v>54</v>
      </c>
      <c r="L1" s="7"/>
      <c r="M1" s="4"/>
      <c r="N1" s="4"/>
      <c r="O1" s="4"/>
      <c r="P1" s="4"/>
      <c r="Q1" s="4"/>
      <c r="R1" s="4"/>
      <c r="S1" s="4"/>
      <c r="T1" s="7"/>
      <c r="U1" s="4"/>
      <c r="V1" s="4"/>
      <c r="W1" s="4"/>
      <c r="X1" s="4"/>
      <c r="Y1" s="4"/>
      <c r="Z1" s="7"/>
      <c r="AA1" s="20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7"/>
      <c r="AY1" s="4"/>
      <c r="AZ1" s="4"/>
      <c r="BB1" s="4"/>
    </row>
    <row r="2" spans="1:64" s="1" customFormat="1" ht="16.5" customHeight="1" x14ac:dyDescent="0.25">
      <c r="A2" s="91" t="s">
        <v>23</v>
      </c>
      <c r="B2" s="91"/>
      <c r="C2" s="91"/>
      <c r="D2" s="91"/>
      <c r="E2" s="91"/>
      <c r="F2" s="91"/>
      <c r="G2" s="91"/>
      <c r="H2" s="5"/>
      <c r="I2" s="30"/>
      <c r="J2" s="30"/>
      <c r="K2" s="29" t="s">
        <v>53</v>
      </c>
      <c r="L2" s="7"/>
      <c r="M2" s="4"/>
      <c r="N2" s="4"/>
      <c r="O2" s="4"/>
      <c r="P2" s="4"/>
      <c r="Q2" s="4"/>
      <c r="R2" s="4"/>
      <c r="S2" s="4"/>
      <c r="T2" s="7"/>
      <c r="U2" s="4"/>
      <c r="V2" s="4"/>
      <c r="W2" s="4"/>
      <c r="X2" s="4"/>
      <c r="Y2" s="4"/>
      <c r="Z2" s="7"/>
      <c r="AA2" s="21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7"/>
      <c r="AY2" s="4"/>
      <c r="AZ2" s="4"/>
      <c r="BB2" s="4"/>
    </row>
    <row r="3" spans="1:64" s="1" customFormat="1" ht="16.5" customHeight="1" x14ac:dyDescent="0.25">
      <c r="A3" s="91" t="s">
        <v>22</v>
      </c>
      <c r="B3" s="91"/>
      <c r="C3" s="91"/>
      <c r="D3" s="91"/>
      <c r="E3" s="91"/>
      <c r="F3" s="91"/>
      <c r="G3" s="91"/>
      <c r="H3" s="5"/>
      <c r="I3" s="30"/>
      <c r="J3" s="30"/>
      <c r="K3" s="29"/>
      <c r="L3" s="7"/>
      <c r="M3" s="4"/>
      <c r="N3" s="4"/>
      <c r="O3" s="4"/>
      <c r="P3" s="4"/>
      <c r="Q3" s="4"/>
      <c r="R3" s="4"/>
      <c r="S3" s="4"/>
      <c r="T3" s="7"/>
      <c r="U3" s="4"/>
      <c r="V3" s="4"/>
      <c r="W3" s="4"/>
      <c r="X3" s="4"/>
      <c r="Y3" s="4"/>
      <c r="Z3" s="7"/>
      <c r="AA3" s="20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7"/>
      <c r="AY3" s="4"/>
      <c r="AZ3" s="4"/>
      <c r="BB3" s="4"/>
    </row>
    <row r="4" spans="1:64" s="1" customFormat="1" ht="16.5" customHeight="1" x14ac:dyDescent="0.2">
      <c r="A4" s="91" t="s">
        <v>21</v>
      </c>
      <c r="B4" s="91"/>
      <c r="C4" s="91"/>
      <c r="D4" s="91"/>
      <c r="E4" s="91"/>
      <c r="F4" s="91"/>
      <c r="G4" s="91"/>
      <c r="H4" s="5"/>
      <c r="I4" s="5"/>
      <c r="J4" s="7"/>
      <c r="K4" s="5"/>
      <c r="L4" s="7"/>
      <c r="M4" s="4"/>
      <c r="N4" s="4"/>
      <c r="O4" s="4"/>
      <c r="P4" s="4"/>
      <c r="Q4" s="4"/>
      <c r="R4" s="4"/>
      <c r="S4" s="4"/>
      <c r="T4" s="7"/>
      <c r="U4" s="4"/>
      <c r="V4" s="4"/>
      <c r="W4" s="4"/>
      <c r="X4" s="4"/>
      <c r="Y4" s="4"/>
      <c r="Z4" s="7"/>
      <c r="AA4" s="7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7"/>
      <c r="AY4" s="4"/>
      <c r="AZ4" s="4"/>
      <c r="BB4" s="4"/>
    </row>
    <row r="5" spans="1:64" s="1" customFormat="1" x14ac:dyDescent="0.2">
      <c r="A5" s="3" t="s">
        <v>51</v>
      </c>
      <c r="B5" s="3" t="s">
        <v>56</v>
      </c>
      <c r="C5" s="4"/>
      <c r="D5" s="4"/>
      <c r="E5" s="4"/>
      <c r="F5" s="4"/>
      <c r="G5" s="4"/>
      <c r="H5" s="5"/>
      <c r="I5" s="5"/>
      <c r="J5" s="7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7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Y5" s="4"/>
      <c r="AZ5" s="4"/>
      <c r="BB5" s="4"/>
    </row>
    <row r="6" spans="1:64" s="1" customFormat="1" ht="15.75" customHeight="1" x14ac:dyDescent="0.2">
      <c r="A6" s="84" t="s">
        <v>20</v>
      </c>
      <c r="B6" s="85"/>
      <c r="C6" s="85"/>
      <c r="D6" s="85"/>
      <c r="E6" s="85"/>
      <c r="F6" s="85"/>
      <c r="G6" s="92"/>
      <c r="H6" s="93"/>
      <c r="I6" s="93"/>
      <c r="J6" s="93"/>
      <c r="K6" s="93"/>
      <c r="L6" s="37"/>
      <c r="M6" s="47"/>
      <c r="N6" s="48" t="s">
        <v>19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48" t="s">
        <v>19</v>
      </c>
      <c r="AJ6" s="37"/>
      <c r="AK6" s="37"/>
      <c r="AL6" s="37"/>
      <c r="AM6" s="37"/>
      <c r="AN6" s="37"/>
      <c r="AO6" s="37"/>
      <c r="AP6" s="37"/>
      <c r="AQ6" s="37"/>
      <c r="AR6" s="48" t="s">
        <v>19</v>
      </c>
      <c r="AS6" s="37"/>
      <c r="AT6" s="37"/>
      <c r="AU6" s="37"/>
      <c r="AV6" s="37"/>
      <c r="AW6" s="37"/>
      <c r="AX6" s="33"/>
      <c r="AY6" s="48"/>
      <c r="AZ6" s="37"/>
      <c r="BA6" s="34"/>
      <c r="BB6" s="47"/>
      <c r="BC6" s="35"/>
      <c r="BD6" s="32"/>
      <c r="BE6" s="32"/>
      <c r="BF6" s="32"/>
      <c r="BG6" s="32"/>
      <c r="BH6" s="32"/>
      <c r="BI6" s="32"/>
      <c r="BJ6" s="32"/>
      <c r="BK6" s="32"/>
      <c r="BL6" s="32"/>
    </row>
    <row r="7" spans="1:64" s="8" customFormat="1" ht="56.25" customHeight="1" x14ac:dyDescent="0.2">
      <c r="A7" s="86"/>
      <c r="B7" s="87"/>
      <c r="C7" s="87"/>
      <c r="D7" s="87"/>
      <c r="E7" s="87"/>
      <c r="F7" s="87"/>
      <c r="G7" s="88" t="s">
        <v>18</v>
      </c>
      <c r="H7" s="83" t="s">
        <v>45</v>
      </c>
      <c r="I7" s="45" t="s">
        <v>57</v>
      </c>
      <c r="J7" s="45" t="s">
        <v>58</v>
      </c>
      <c r="K7" s="45" t="s">
        <v>58</v>
      </c>
      <c r="L7" s="89" t="s">
        <v>18</v>
      </c>
      <c r="M7" s="88" t="s">
        <v>52</v>
      </c>
      <c r="N7" s="45" t="s">
        <v>58</v>
      </c>
      <c r="O7" s="75" t="s">
        <v>18</v>
      </c>
      <c r="P7" s="75" t="s">
        <v>67</v>
      </c>
      <c r="Q7" s="45" t="s">
        <v>58</v>
      </c>
      <c r="R7" s="45" t="s">
        <v>58</v>
      </c>
      <c r="S7" s="45" t="s">
        <v>68</v>
      </c>
      <c r="T7" s="89" t="s">
        <v>18</v>
      </c>
      <c r="U7" s="96" t="s">
        <v>124</v>
      </c>
      <c r="V7" s="45" t="s">
        <v>68</v>
      </c>
      <c r="W7" s="45" t="s">
        <v>68</v>
      </c>
      <c r="X7" s="45" t="s">
        <v>68</v>
      </c>
      <c r="Y7" s="45" t="s">
        <v>68</v>
      </c>
      <c r="Z7" s="89" t="s">
        <v>18</v>
      </c>
      <c r="AA7" s="94" t="s">
        <v>75</v>
      </c>
      <c r="AB7" s="45" t="s">
        <v>57</v>
      </c>
      <c r="AC7" s="45" t="s">
        <v>57</v>
      </c>
      <c r="AD7" s="45" t="s">
        <v>57</v>
      </c>
      <c r="AE7" s="45" t="s">
        <v>58</v>
      </c>
      <c r="AF7" s="45" t="s">
        <v>58</v>
      </c>
      <c r="AG7" s="45" t="s">
        <v>58</v>
      </c>
      <c r="AH7" s="45" t="s">
        <v>58</v>
      </c>
      <c r="AI7" s="45" t="s">
        <v>58</v>
      </c>
      <c r="AJ7" s="45" t="s">
        <v>58</v>
      </c>
      <c r="AK7" s="45" t="s">
        <v>68</v>
      </c>
      <c r="AL7" s="45" t="s">
        <v>68</v>
      </c>
      <c r="AM7" s="45" t="s">
        <v>68</v>
      </c>
      <c r="AN7" s="45" t="s">
        <v>68</v>
      </c>
      <c r="AO7" s="45" t="s">
        <v>68</v>
      </c>
      <c r="AP7" s="45" t="s">
        <v>68</v>
      </c>
      <c r="AQ7" s="45" t="s">
        <v>68</v>
      </c>
      <c r="AR7" s="45" t="s">
        <v>68</v>
      </c>
      <c r="AS7" s="45" t="s">
        <v>68</v>
      </c>
      <c r="AT7" s="45" t="s">
        <v>68</v>
      </c>
      <c r="AU7" s="45" t="s">
        <v>68</v>
      </c>
      <c r="AV7" s="45" t="s">
        <v>76</v>
      </c>
      <c r="AW7" s="89" t="s">
        <v>18</v>
      </c>
      <c r="AX7" s="94" t="s">
        <v>112</v>
      </c>
      <c r="AY7" s="45" t="s">
        <v>58</v>
      </c>
      <c r="AZ7" s="45" t="s">
        <v>68</v>
      </c>
      <c r="BA7" s="94" t="s">
        <v>117</v>
      </c>
      <c r="BB7" s="45" t="s">
        <v>76</v>
      </c>
      <c r="BC7" s="50"/>
    </row>
    <row r="8" spans="1:64" s="8" customFormat="1" ht="18" customHeight="1" x14ac:dyDescent="0.2">
      <c r="A8" s="86"/>
      <c r="B8" s="87"/>
      <c r="C8" s="87"/>
      <c r="D8" s="87"/>
      <c r="E8" s="87"/>
      <c r="F8" s="87"/>
      <c r="G8" s="88"/>
      <c r="H8" s="83"/>
      <c r="I8" s="49" t="s">
        <v>59</v>
      </c>
      <c r="J8" s="49" t="s">
        <v>60</v>
      </c>
      <c r="K8" s="49" t="s">
        <v>61</v>
      </c>
      <c r="L8" s="90"/>
      <c r="M8" s="88"/>
      <c r="N8" s="49" t="s">
        <v>65</v>
      </c>
      <c r="O8" s="76"/>
      <c r="P8" s="76"/>
      <c r="Q8" s="49" t="s">
        <v>69</v>
      </c>
      <c r="R8" s="49" t="s">
        <v>70</v>
      </c>
      <c r="S8" s="49" t="s">
        <v>71</v>
      </c>
      <c r="T8" s="90"/>
      <c r="U8" s="97"/>
      <c r="V8" s="49" t="s">
        <v>59</v>
      </c>
      <c r="W8" s="49" t="s">
        <v>60</v>
      </c>
      <c r="X8" s="49" t="s">
        <v>77</v>
      </c>
      <c r="Y8" s="49" t="s">
        <v>118</v>
      </c>
      <c r="Z8" s="90"/>
      <c r="AA8" s="95"/>
      <c r="AB8" s="49" t="s">
        <v>77</v>
      </c>
      <c r="AC8" s="49" t="s">
        <v>78</v>
      </c>
      <c r="AD8" s="49" t="s">
        <v>79</v>
      </c>
      <c r="AE8" s="49" t="s">
        <v>80</v>
      </c>
      <c r="AF8" s="49" t="s">
        <v>81</v>
      </c>
      <c r="AG8" s="49" t="s">
        <v>82</v>
      </c>
      <c r="AH8" s="49" t="s">
        <v>83</v>
      </c>
      <c r="AI8" s="49" t="s">
        <v>84</v>
      </c>
      <c r="AJ8" s="49" t="s">
        <v>55</v>
      </c>
      <c r="AK8" s="49" t="s">
        <v>78</v>
      </c>
      <c r="AL8" s="49" t="s">
        <v>85</v>
      </c>
      <c r="AM8" s="49" t="s">
        <v>79</v>
      </c>
      <c r="AN8" s="49" t="s">
        <v>82</v>
      </c>
      <c r="AO8" s="49" t="s">
        <v>86</v>
      </c>
      <c r="AP8" s="49" t="s">
        <v>87</v>
      </c>
      <c r="AQ8" s="49" t="s">
        <v>84</v>
      </c>
      <c r="AR8" s="49" t="s">
        <v>88</v>
      </c>
      <c r="AS8" s="49" t="s">
        <v>89</v>
      </c>
      <c r="AT8" s="49" t="s">
        <v>90</v>
      </c>
      <c r="AU8" s="49" t="s">
        <v>91</v>
      </c>
      <c r="AV8" s="49" t="s">
        <v>77</v>
      </c>
      <c r="AW8" s="90"/>
      <c r="AX8" s="95"/>
      <c r="AY8" s="49" t="s">
        <v>113</v>
      </c>
      <c r="AZ8" s="49" t="s">
        <v>114</v>
      </c>
      <c r="BA8" s="95"/>
      <c r="BB8" s="49" t="s">
        <v>118</v>
      </c>
      <c r="BC8" s="50"/>
    </row>
    <row r="9" spans="1:64" s="1" customFormat="1" x14ac:dyDescent="0.2">
      <c r="A9" s="77" t="s">
        <v>17</v>
      </c>
      <c r="B9" s="78"/>
      <c r="C9" s="78"/>
      <c r="D9" s="78"/>
      <c r="E9" s="78"/>
      <c r="F9" s="79"/>
      <c r="G9" s="27"/>
      <c r="H9" s="16">
        <f t="shared" ref="H9" si="0">SUM(H10:H13)</f>
        <v>0</v>
      </c>
      <c r="I9" s="16">
        <f t="shared" ref="I9:K9" si="1">SUM(I10:I13)</f>
        <v>0</v>
      </c>
      <c r="J9" s="16">
        <f t="shared" ref="J9" si="2">SUM(J10:J13)</f>
        <v>0</v>
      </c>
      <c r="K9" s="16">
        <f t="shared" si="1"/>
        <v>0</v>
      </c>
      <c r="L9" s="15"/>
      <c r="M9" s="25">
        <f t="shared" ref="M9" si="3">SUM(M10:M13)</f>
        <v>0</v>
      </c>
      <c r="N9" s="16">
        <v>0</v>
      </c>
      <c r="O9" s="16"/>
      <c r="P9" s="16">
        <v>0</v>
      </c>
      <c r="Q9" s="16">
        <v>0</v>
      </c>
      <c r="R9" s="16">
        <v>0</v>
      </c>
      <c r="S9" s="16">
        <v>0</v>
      </c>
      <c r="T9" s="15"/>
      <c r="U9" s="58">
        <v>0</v>
      </c>
      <c r="V9" s="16">
        <v>0</v>
      </c>
      <c r="W9" s="16">
        <v>0</v>
      </c>
      <c r="X9" s="16">
        <v>0</v>
      </c>
      <c r="Y9" s="16">
        <v>0</v>
      </c>
      <c r="Z9" s="15"/>
      <c r="AA9" s="25">
        <f t="shared" ref="AA9" si="4">SUM(AA10:AA13)</f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5"/>
      <c r="AX9" s="25">
        <f t="shared" ref="AX9" si="5">SUM(AX10:AX13)</f>
        <v>0</v>
      </c>
      <c r="AY9" s="16">
        <v>0</v>
      </c>
      <c r="AZ9" s="16">
        <v>0</v>
      </c>
      <c r="BA9" s="25">
        <f t="shared" ref="BA9" si="6">SUM(BA10:BA13)</f>
        <v>0</v>
      </c>
      <c r="BB9" s="16">
        <v>0</v>
      </c>
    </row>
    <row r="10" spans="1:64" s="1" customFormat="1" x14ac:dyDescent="0.2">
      <c r="A10" s="62" t="s">
        <v>25</v>
      </c>
      <c r="B10" s="62"/>
      <c r="C10" s="62"/>
      <c r="D10" s="62"/>
      <c r="E10" s="62"/>
      <c r="F10" s="62"/>
      <c r="G10" s="11" t="s">
        <v>10</v>
      </c>
      <c r="H10" s="11">
        <v>0</v>
      </c>
      <c r="I10" s="11">
        <v>0</v>
      </c>
      <c r="J10" s="11">
        <v>0</v>
      </c>
      <c r="K10" s="11">
        <v>0</v>
      </c>
      <c r="L10" s="11" t="s">
        <v>10</v>
      </c>
      <c r="M10" s="23">
        <v>0</v>
      </c>
      <c r="N10" s="11">
        <v>0</v>
      </c>
      <c r="O10" s="11" t="s">
        <v>10</v>
      </c>
      <c r="P10" s="11">
        <v>0</v>
      </c>
      <c r="Q10" s="11">
        <v>0</v>
      </c>
      <c r="R10" s="11">
        <v>0</v>
      </c>
      <c r="S10" s="11">
        <v>0</v>
      </c>
      <c r="T10" s="11" t="s">
        <v>10</v>
      </c>
      <c r="U10" s="59">
        <v>0</v>
      </c>
      <c r="V10" s="11">
        <v>0</v>
      </c>
      <c r="W10" s="11">
        <v>0</v>
      </c>
      <c r="X10" s="11">
        <v>0</v>
      </c>
      <c r="Y10" s="11">
        <v>0</v>
      </c>
      <c r="Z10" s="11" t="s">
        <v>10</v>
      </c>
      <c r="AA10" s="23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 t="s">
        <v>10</v>
      </c>
      <c r="AX10" s="23">
        <v>0</v>
      </c>
      <c r="AY10" s="11">
        <v>0</v>
      </c>
      <c r="AZ10" s="11">
        <v>0</v>
      </c>
      <c r="BA10" s="23">
        <v>0</v>
      </c>
      <c r="BB10" s="11">
        <v>0</v>
      </c>
    </row>
    <row r="11" spans="1:64" s="1" customFormat="1" x14ac:dyDescent="0.2">
      <c r="A11" s="62" t="s">
        <v>26</v>
      </c>
      <c r="B11" s="62"/>
      <c r="C11" s="62"/>
      <c r="D11" s="62"/>
      <c r="E11" s="62"/>
      <c r="F11" s="62"/>
      <c r="G11" s="11" t="s">
        <v>10</v>
      </c>
      <c r="H11" s="11">
        <v>0</v>
      </c>
      <c r="I11" s="11">
        <v>0</v>
      </c>
      <c r="J11" s="11">
        <v>0</v>
      </c>
      <c r="K11" s="11">
        <v>0</v>
      </c>
      <c r="L11" s="11" t="s">
        <v>10</v>
      </c>
      <c r="M11" s="23">
        <v>0</v>
      </c>
      <c r="N11" s="11">
        <v>0</v>
      </c>
      <c r="O11" s="11" t="s">
        <v>10</v>
      </c>
      <c r="P11" s="11">
        <v>0</v>
      </c>
      <c r="Q11" s="11">
        <v>0</v>
      </c>
      <c r="R11" s="11">
        <v>0</v>
      </c>
      <c r="S11" s="11">
        <v>0</v>
      </c>
      <c r="T11" s="11" t="s">
        <v>10</v>
      </c>
      <c r="U11" s="59">
        <v>0</v>
      </c>
      <c r="V11" s="11">
        <v>0</v>
      </c>
      <c r="W11" s="11">
        <v>0</v>
      </c>
      <c r="X11" s="11">
        <v>0</v>
      </c>
      <c r="Y11" s="11">
        <v>0</v>
      </c>
      <c r="Z11" s="11" t="s">
        <v>10</v>
      </c>
      <c r="AA11" s="23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 t="s">
        <v>10</v>
      </c>
      <c r="AX11" s="23">
        <v>0</v>
      </c>
      <c r="AY11" s="11">
        <v>0</v>
      </c>
      <c r="AZ11" s="11">
        <v>0</v>
      </c>
      <c r="BA11" s="23">
        <v>0</v>
      </c>
      <c r="BB11" s="11">
        <v>0</v>
      </c>
    </row>
    <row r="12" spans="1:64" s="1" customFormat="1" x14ac:dyDescent="0.2">
      <c r="A12" s="62" t="s">
        <v>16</v>
      </c>
      <c r="B12" s="62"/>
      <c r="C12" s="62"/>
      <c r="D12" s="62"/>
      <c r="E12" s="62"/>
      <c r="F12" s="62"/>
      <c r="G12" s="11" t="s">
        <v>10</v>
      </c>
      <c r="H12" s="11">
        <v>0</v>
      </c>
      <c r="I12" s="11">
        <v>0</v>
      </c>
      <c r="J12" s="11">
        <v>0</v>
      </c>
      <c r="K12" s="11">
        <v>0</v>
      </c>
      <c r="L12" s="11" t="s">
        <v>10</v>
      </c>
      <c r="M12" s="23">
        <v>0</v>
      </c>
      <c r="N12" s="11">
        <v>0</v>
      </c>
      <c r="O12" s="11" t="s">
        <v>10</v>
      </c>
      <c r="P12" s="11">
        <v>0</v>
      </c>
      <c r="Q12" s="11">
        <v>0</v>
      </c>
      <c r="R12" s="11">
        <v>0</v>
      </c>
      <c r="S12" s="11">
        <v>0</v>
      </c>
      <c r="T12" s="11" t="s">
        <v>10</v>
      </c>
      <c r="U12" s="59">
        <v>0</v>
      </c>
      <c r="V12" s="11">
        <v>0</v>
      </c>
      <c r="W12" s="11">
        <v>0</v>
      </c>
      <c r="X12" s="11">
        <v>0</v>
      </c>
      <c r="Y12" s="11">
        <v>0</v>
      </c>
      <c r="Z12" s="11" t="s">
        <v>10</v>
      </c>
      <c r="AA12" s="23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 t="s">
        <v>10</v>
      </c>
      <c r="AX12" s="23">
        <v>0</v>
      </c>
      <c r="AY12" s="11">
        <v>0</v>
      </c>
      <c r="AZ12" s="11">
        <v>0</v>
      </c>
      <c r="BA12" s="23">
        <v>0</v>
      </c>
      <c r="BB12" s="11">
        <v>0</v>
      </c>
    </row>
    <row r="13" spans="1:64" s="1" customFormat="1" x14ac:dyDescent="0.2">
      <c r="A13" s="62" t="s">
        <v>15</v>
      </c>
      <c r="B13" s="62"/>
      <c r="C13" s="62"/>
      <c r="D13" s="62"/>
      <c r="E13" s="62"/>
      <c r="F13" s="62"/>
      <c r="G13" s="11" t="s">
        <v>14</v>
      </c>
      <c r="H13" s="11">
        <v>0</v>
      </c>
      <c r="I13" s="11">
        <v>0</v>
      </c>
      <c r="J13" s="11">
        <v>0</v>
      </c>
      <c r="K13" s="11">
        <v>0</v>
      </c>
      <c r="L13" s="11" t="s">
        <v>14</v>
      </c>
      <c r="M13" s="23">
        <v>0</v>
      </c>
      <c r="N13" s="11">
        <v>0</v>
      </c>
      <c r="O13" s="11" t="s">
        <v>14</v>
      </c>
      <c r="P13" s="11">
        <v>0</v>
      </c>
      <c r="Q13" s="11">
        <v>0</v>
      </c>
      <c r="R13" s="11">
        <v>0</v>
      </c>
      <c r="S13" s="11">
        <v>0</v>
      </c>
      <c r="T13" s="11" t="s">
        <v>14</v>
      </c>
      <c r="U13" s="59">
        <v>0</v>
      </c>
      <c r="V13" s="11">
        <v>0</v>
      </c>
      <c r="W13" s="11">
        <v>0</v>
      </c>
      <c r="X13" s="11">
        <v>0</v>
      </c>
      <c r="Y13" s="11">
        <v>0</v>
      </c>
      <c r="Z13" s="11" t="s">
        <v>14</v>
      </c>
      <c r="AA13" s="23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 t="s">
        <v>14</v>
      </c>
      <c r="AX13" s="23">
        <v>0</v>
      </c>
      <c r="AY13" s="11">
        <v>0</v>
      </c>
      <c r="AZ13" s="11">
        <v>0</v>
      </c>
      <c r="BA13" s="23">
        <v>0</v>
      </c>
      <c r="BB13" s="11">
        <v>0</v>
      </c>
    </row>
    <row r="14" spans="1:64" s="1" customFormat="1" ht="23.85" customHeight="1" x14ac:dyDescent="0.2">
      <c r="A14" s="63" t="s">
        <v>13</v>
      </c>
      <c r="B14" s="64"/>
      <c r="C14" s="64"/>
      <c r="D14" s="64"/>
      <c r="E14" s="64"/>
      <c r="F14" s="65"/>
      <c r="G14" s="10"/>
      <c r="H14" s="9">
        <f t="shared" ref="H14" si="7">SUM(H15:H21)</f>
        <v>8.0500000000000007</v>
      </c>
      <c r="I14" s="9">
        <f t="shared" ref="I14:K14" si="8">SUM(I15:I21)</f>
        <v>72652.86</v>
      </c>
      <c r="J14" s="9">
        <f t="shared" ref="J14" si="9">SUM(J15:J21)</f>
        <v>25676.28</v>
      </c>
      <c r="K14" s="9">
        <f t="shared" si="8"/>
        <v>53526.06</v>
      </c>
      <c r="L14" s="10"/>
      <c r="M14" s="22">
        <f t="shared" ref="M14" si="10">SUM(M15:M21)</f>
        <v>8.17</v>
      </c>
      <c r="N14" s="9">
        <f t="shared" ref="N14" si="11">SUM(N15:N21)</f>
        <v>69206.435999999987</v>
      </c>
      <c r="O14" s="9"/>
      <c r="P14" s="9">
        <v>11.13</v>
      </c>
      <c r="Q14" s="9">
        <f t="shared" ref="Q14:U14" si="12">SUM(Q15:Q21)</f>
        <v>72589.86</v>
      </c>
      <c r="R14" s="9">
        <f t="shared" si="12"/>
        <v>56135.267999999996</v>
      </c>
      <c r="S14" s="9">
        <f t="shared" si="12"/>
        <v>94520.412000000011</v>
      </c>
      <c r="T14" s="10"/>
      <c r="U14" s="9">
        <f t="shared" si="12"/>
        <v>12.7</v>
      </c>
      <c r="V14" s="9">
        <f t="shared" ref="V14:Y14" si="13">SUM(V15:V21)</f>
        <v>79568.040000000008</v>
      </c>
      <c r="W14" s="9">
        <f t="shared" si="13"/>
        <v>74127.360000000001</v>
      </c>
      <c r="X14" s="9">
        <f t="shared" si="13"/>
        <v>79217.51999999999</v>
      </c>
      <c r="Y14" s="9">
        <f t="shared" si="13"/>
        <v>80680.56</v>
      </c>
      <c r="Z14" s="10"/>
      <c r="AA14" s="22">
        <f t="shared" ref="AA14" si="14">SUM(AA15:AA21)</f>
        <v>12.84</v>
      </c>
      <c r="AB14" s="9">
        <f t="shared" ref="AB14" si="15">SUM(AB15:AB21)</f>
        <v>78719.472000000009</v>
      </c>
      <c r="AC14" s="9">
        <f t="shared" ref="AC14:AD14" si="16">SUM(AC15:AC21)</f>
        <v>76870.512000000002</v>
      </c>
      <c r="AD14" s="9">
        <f t="shared" si="16"/>
        <v>80013.743999999992</v>
      </c>
      <c r="AE14" s="9">
        <f t="shared" ref="AE14:AH14" si="17">SUM(AE15:AE21)</f>
        <v>87101.423999999999</v>
      </c>
      <c r="AF14" s="9">
        <f t="shared" si="17"/>
        <v>82540.656000000017</v>
      </c>
      <c r="AG14" s="9">
        <f t="shared" si="17"/>
        <v>90907.199999999997</v>
      </c>
      <c r="AH14" s="9">
        <f t="shared" si="17"/>
        <v>68966.207999999999</v>
      </c>
      <c r="AI14" s="9">
        <f t="shared" ref="AI14:AU14" si="18">SUM(AI15:AI21)</f>
        <v>68997.024000000005</v>
      </c>
      <c r="AJ14" s="9">
        <f t="shared" si="18"/>
        <v>78226.415999999997</v>
      </c>
      <c r="AK14" s="9">
        <f t="shared" si="18"/>
        <v>78719.472000000009</v>
      </c>
      <c r="AL14" s="9">
        <f t="shared" ref="AL14:AP14" si="19">SUM(AL15:AL21)</f>
        <v>78426.720000000001</v>
      </c>
      <c r="AM14" s="9">
        <f t="shared" si="19"/>
        <v>77594.688000000009</v>
      </c>
      <c r="AN14" s="9">
        <f t="shared" si="19"/>
        <v>69921.504000000001</v>
      </c>
      <c r="AO14" s="9">
        <f t="shared" si="19"/>
        <v>109643.32800000001</v>
      </c>
      <c r="AP14" s="9">
        <f t="shared" si="19"/>
        <v>110167.20000000001</v>
      </c>
      <c r="AQ14" s="9">
        <f t="shared" si="18"/>
        <v>79782.623999999996</v>
      </c>
      <c r="AR14" s="9">
        <f t="shared" si="18"/>
        <v>79566.911999999997</v>
      </c>
      <c r="AS14" s="9">
        <f t="shared" si="18"/>
        <v>109458.432</v>
      </c>
      <c r="AT14" s="9">
        <f t="shared" si="18"/>
        <v>78811.92</v>
      </c>
      <c r="AU14" s="9">
        <f t="shared" si="18"/>
        <v>77425.2</v>
      </c>
      <c r="AV14" s="9">
        <f t="shared" ref="AV14:AY14" si="20">SUM(AV15:AV21)</f>
        <v>11694.672000000002</v>
      </c>
      <c r="AW14" s="10"/>
      <c r="AX14" s="22">
        <f t="shared" ref="AX14" si="21">SUM(AX15:AX21)</f>
        <v>12.84</v>
      </c>
      <c r="AY14" s="9">
        <f t="shared" si="20"/>
        <v>107239.67999999999</v>
      </c>
      <c r="AZ14" s="9">
        <f t="shared" ref="AZ14:BB14" si="22">SUM(AZ15:AZ21)</f>
        <v>79736.399999999994</v>
      </c>
      <c r="BA14" s="22">
        <f t="shared" ref="BA14" si="23">SUM(BA15:BA21)</f>
        <v>11.129999999999999</v>
      </c>
      <c r="BB14" s="9">
        <f t="shared" si="22"/>
        <v>25608.052799999998</v>
      </c>
    </row>
    <row r="15" spans="1:64" s="1" customFormat="1" x14ac:dyDescent="0.2">
      <c r="A15" s="62" t="s">
        <v>39</v>
      </c>
      <c r="B15" s="62"/>
      <c r="C15" s="62"/>
      <c r="D15" s="62"/>
      <c r="E15" s="62"/>
      <c r="F15" s="62"/>
      <c r="G15" s="11" t="s">
        <v>40</v>
      </c>
      <c r="H15" s="11">
        <v>0.66</v>
      </c>
      <c r="I15" s="11">
        <f>0.66*12*I35</f>
        <v>5956.6320000000005</v>
      </c>
      <c r="J15" s="11">
        <f t="shared" ref="J15:K15" si="24">0.66*12*J35</f>
        <v>2105.136</v>
      </c>
      <c r="K15" s="11">
        <f t="shared" si="24"/>
        <v>4388.4719999999998</v>
      </c>
      <c r="L15" s="11" t="s">
        <v>40</v>
      </c>
      <c r="M15" s="23">
        <v>0.68</v>
      </c>
      <c r="N15" s="11">
        <f>0.68*12*N35</f>
        <v>5760.1440000000002</v>
      </c>
      <c r="O15" s="11" t="s">
        <v>40</v>
      </c>
      <c r="P15" s="11">
        <v>0.95</v>
      </c>
      <c r="Q15" s="11">
        <f>0.95*12*Q35</f>
        <v>6195.9</v>
      </c>
      <c r="R15" s="11">
        <f t="shared" ref="R15:S15" si="25">0.95*12*R35</f>
        <v>4791.4199999999992</v>
      </c>
      <c r="S15" s="11">
        <f t="shared" si="25"/>
        <v>8067.78</v>
      </c>
      <c r="T15" s="11" t="s">
        <v>40</v>
      </c>
      <c r="U15" s="59">
        <v>0.59</v>
      </c>
      <c r="V15" s="11">
        <f>0.59*12*V35</f>
        <v>3696.4680000000003</v>
      </c>
      <c r="W15" s="11">
        <f t="shared" ref="W15:Y15" si="26">0.59*12*W35</f>
        <v>3443.712</v>
      </c>
      <c r="X15" s="11">
        <f t="shared" si="26"/>
        <v>3680.1839999999997</v>
      </c>
      <c r="Y15" s="11">
        <f t="shared" si="26"/>
        <v>3748.152</v>
      </c>
      <c r="Z15" s="11" t="s">
        <v>40</v>
      </c>
      <c r="AA15" s="23">
        <v>0.71</v>
      </c>
      <c r="AB15" s="11">
        <f>0.71*12*AB35</f>
        <v>4352.8679999999995</v>
      </c>
      <c r="AC15" s="11">
        <f t="shared" ref="AC15:AV15" si="27">0.71*12*AC35</f>
        <v>4250.6279999999997</v>
      </c>
      <c r="AD15" s="11">
        <f t="shared" si="27"/>
        <v>4424.4359999999997</v>
      </c>
      <c r="AE15" s="11">
        <f t="shared" si="27"/>
        <v>4816.3559999999998</v>
      </c>
      <c r="AF15" s="11">
        <f t="shared" si="27"/>
        <v>4564.1639999999998</v>
      </c>
      <c r="AG15" s="11">
        <f t="shared" si="27"/>
        <v>5026.8</v>
      </c>
      <c r="AH15" s="11">
        <f t="shared" si="27"/>
        <v>3813.5520000000001</v>
      </c>
      <c r="AI15" s="11">
        <f t="shared" si="27"/>
        <v>3815.2559999999999</v>
      </c>
      <c r="AJ15" s="11">
        <f t="shared" si="27"/>
        <v>4325.6039999999994</v>
      </c>
      <c r="AK15" s="11">
        <f t="shared" si="27"/>
        <v>4352.8679999999995</v>
      </c>
      <c r="AL15" s="11">
        <f t="shared" si="27"/>
        <v>4336.6799999999994</v>
      </c>
      <c r="AM15" s="11">
        <f t="shared" si="27"/>
        <v>4290.6719999999996</v>
      </c>
      <c r="AN15" s="11">
        <f t="shared" si="27"/>
        <v>3866.3759999999997</v>
      </c>
      <c r="AO15" s="11">
        <f t="shared" si="27"/>
        <v>6062.8320000000003</v>
      </c>
      <c r="AP15" s="11">
        <f t="shared" si="27"/>
        <v>6091.7999999999993</v>
      </c>
      <c r="AQ15" s="11">
        <f t="shared" si="27"/>
        <v>4411.655999999999</v>
      </c>
      <c r="AR15" s="11">
        <f t="shared" si="27"/>
        <v>4399.7279999999992</v>
      </c>
      <c r="AS15" s="11">
        <f t="shared" si="27"/>
        <v>6052.6079999999993</v>
      </c>
      <c r="AT15" s="11">
        <f t="shared" si="27"/>
        <v>4357.9799999999996</v>
      </c>
      <c r="AU15" s="11">
        <f t="shared" si="27"/>
        <v>4281.3</v>
      </c>
      <c r="AV15" s="11">
        <f t="shared" si="27"/>
        <v>646.66800000000001</v>
      </c>
      <c r="AW15" s="11" t="s">
        <v>40</v>
      </c>
      <c r="AX15" s="23">
        <v>0.71</v>
      </c>
      <c r="AY15" s="11">
        <f>0.71*12*AY35</f>
        <v>5929.92</v>
      </c>
      <c r="AZ15" s="11">
        <f>0.71*12*AZ35</f>
        <v>4409.0999999999995</v>
      </c>
      <c r="BA15" s="23">
        <v>0.95</v>
      </c>
      <c r="BB15" s="11">
        <f>0.95*12*BB35</f>
        <v>2185.3799999999997</v>
      </c>
    </row>
    <row r="16" spans="1:64" s="1" customFormat="1" x14ac:dyDescent="0.2">
      <c r="A16" s="62" t="s">
        <v>30</v>
      </c>
      <c r="B16" s="62"/>
      <c r="C16" s="62"/>
      <c r="D16" s="62"/>
      <c r="E16" s="62"/>
      <c r="F16" s="62"/>
      <c r="G16" s="11" t="s">
        <v>12</v>
      </c>
      <c r="H16" s="11">
        <v>0.89</v>
      </c>
      <c r="I16" s="11">
        <f>0.89*12*I35</f>
        <v>8032.4279999999999</v>
      </c>
      <c r="J16" s="11">
        <f t="shared" ref="J16:K16" si="28">0.89*12*J35</f>
        <v>2838.7440000000001</v>
      </c>
      <c r="K16" s="11">
        <f t="shared" si="28"/>
        <v>5917.7880000000005</v>
      </c>
      <c r="L16" s="11" t="s">
        <v>12</v>
      </c>
      <c r="M16" s="23">
        <v>0.89</v>
      </c>
      <c r="N16" s="11">
        <f>0.89*12*N35</f>
        <v>7539.0119999999997</v>
      </c>
      <c r="O16" s="11" t="s">
        <v>12</v>
      </c>
      <c r="P16" s="11">
        <v>0.89</v>
      </c>
      <c r="Q16" s="11">
        <f>0.89*12*Q35</f>
        <v>5804.58</v>
      </c>
      <c r="R16" s="11">
        <f t="shared" ref="R16:S16" si="29">0.89*12*R35</f>
        <v>4488.8040000000001</v>
      </c>
      <c r="S16" s="11">
        <f t="shared" si="29"/>
        <v>7558.2359999999999</v>
      </c>
      <c r="T16" s="11" t="s">
        <v>12</v>
      </c>
      <c r="U16" s="59">
        <v>0.89</v>
      </c>
      <c r="V16" s="11">
        <f>0.89*12*V35</f>
        <v>5576.0280000000002</v>
      </c>
      <c r="W16" s="11">
        <f t="shared" ref="W16:Y16" si="30">0.89*12*W35</f>
        <v>5194.7519999999995</v>
      </c>
      <c r="X16" s="11">
        <f t="shared" si="30"/>
        <v>5551.463999999999</v>
      </c>
      <c r="Y16" s="11">
        <f t="shared" si="30"/>
        <v>5653.9919999999993</v>
      </c>
      <c r="Z16" s="11" t="s">
        <v>12</v>
      </c>
      <c r="AA16" s="23">
        <v>0.89</v>
      </c>
      <c r="AB16" s="11">
        <f>0.89*12*AB35</f>
        <v>5456.4119999999994</v>
      </c>
      <c r="AC16" s="11">
        <f t="shared" ref="AC16:AV16" si="31">0.89*12*AC35</f>
        <v>5328.2519999999995</v>
      </c>
      <c r="AD16" s="11">
        <f t="shared" si="31"/>
        <v>5546.1239999999998</v>
      </c>
      <c r="AE16" s="11">
        <f t="shared" si="31"/>
        <v>6037.4039999999995</v>
      </c>
      <c r="AF16" s="11">
        <f t="shared" si="31"/>
        <v>5721.2760000000007</v>
      </c>
      <c r="AG16" s="11">
        <f t="shared" si="31"/>
        <v>6301.2</v>
      </c>
      <c r="AH16" s="11">
        <f t="shared" si="31"/>
        <v>4780.3680000000004</v>
      </c>
      <c r="AI16" s="11">
        <f t="shared" si="31"/>
        <v>4782.5039999999999</v>
      </c>
      <c r="AJ16" s="11">
        <f t="shared" si="31"/>
        <v>5422.2359999999999</v>
      </c>
      <c r="AK16" s="11">
        <f t="shared" si="31"/>
        <v>5456.4119999999994</v>
      </c>
      <c r="AL16" s="11">
        <f t="shared" si="31"/>
        <v>5436.12</v>
      </c>
      <c r="AM16" s="11">
        <f t="shared" si="31"/>
        <v>5378.4480000000003</v>
      </c>
      <c r="AN16" s="11">
        <f t="shared" si="31"/>
        <v>4846.5839999999998</v>
      </c>
      <c r="AO16" s="11">
        <f t="shared" si="31"/>
        <v>7599.8879999999999</v>
      </c>
      <c r="AP16" s="11">
        <f t="shared" si="31"/>
        <v>7636.2</v>
      </c>
      <c r="AQ16" s="11">
        <f t="shared" si="31"/>
        <v>5530.1039999999994</v>
      </c>
      <c r="AR16" s="11">
        <f t="shared" si="31"/>
        <v>5515.152</v>
      </c>
      <c r="AS16" s="11">
        <f t="shared" si="31"/>
        <v>7587.0719999999992</v>
      </c>
      <c r="AT16" s="11">
        <f t="shared" si="31"/>
        <v>5462.82</v>
      </c>
      <c r="AU16" s="11">
        <f t="shared" si="31"/>
        <v>5366.7</v>
      </c>
      <c r="AV16" s="11">
        <f t="shared" si="31"/>
        <v>810.61200000000008</v>
      </c>
      <c r="AW16" s="11" t="s">
        <v>12</v>
      </c>
      <c r="AX16" s="23">
        <v>0.89</v>
      </c>
      <c r="AY16" s="11">
        <f>0.89*12*AY35</f>
        <v>7433.28</v>
      </c>
      <c r="AZ16" s="11">
        <f>0.89*12*AZ35</f>
        <v>5526.9</v>
      </c>
      <c r="BA16" s="23">
        <v>0.89</v>
      </c>
      <c r="BB16" s="11">
        <f>0.89*12*BB35</f>
        <v>2047.3559999999998</v>
      </c>
    </row>
    <row r="17" spans="1:54" s="1" customFormat="1" x14ac:dyDescent="0.2">
      <c r="A17" s="62" t="s">
        <v>31</v>
      </c>
      <c r="B17" s="62"/>
      <c r="C17" s="62"/>
      <c r="D17" s="62"/>
      <c r="E17" s="62"/>
      <c r="F17" s="62"/>
      <c r="G17" s="11" t="s">
        <v>41</v>
      </c>
      <c r="H17" s="11">
        <v>0.16</v>
      </c>
      <c r="I17" s="11">
        <f>0.16*12*I35</f>
        <v>1444.0319999999999</v>
      </c>
      <c r="J17" s="11">
        <f t="shared" ref="J17:K17" si="32">0.16*12*J35</f>
        <v>510.33600000000001</v>
      </c>
      <c r="K17" s="11">
        <f t="shared" si="32"/>
        <v>1063.8720000000001</v>
      </c>
      <c r="L17" s="11" t="s">
        <v>41</v>
      </c>
      <c r="M17" s="23">
        <v>0.28000000000000003</v>
      </c>
      <c r="N17" s="11">
        <f>0.28*12*N35</f>
        <v>2371.8240000000001</v>
      </c>
      <c r="O17" s="11" t="s">
        <v>41</v>
      </c>
      <c r="P17" s="11">
        <v>0.38</v>
      </c>
      <c r="Q17" s="11">
        <f>0.38*12*Q35</f>
        <v>2478.36</v>
      </c>
      <c r="R17" s="11">
        <f t="shared" ref="R17:S17" si="33">0.38*12*R35</f>
        <v>1916.5680000000002</v>
      </c>
      <c r="S17" s="11">
        <f t="shared" si="33"/>
        <v>3227.1120000000005</v>
      </c>
      <c r="T17" s="11" t="s">
        <v>41</v>
      </c>
      <c r="U17" s="59">
        <v>0.23</v>
      </c>
      <c r="V17" s="11">
        <f>0.23*12*V35</f>
        <v>1440.9960000000001</v>
      </c>
      <c r="W17" s="11">
        <f t="shared" ref="W17:Y17" si="34">0.23*12*W35</f>
        <v>1342.4639999999999</v>
      </c>
      <c r="X17" s="11">
        <f t="shared" si="34"/>
        <v>1434.6479999999999</v>
      </c>
      <c r="Y17" s="11">
        <f t="shared" si="34"/>
        <v>1461.144</v>
      </c>
      <c r="Z17" s="11" t="s">
        <v>41</v>
      </c>
      <c r="AA17" s="23">
        <v>0.23</v>
      </c>
      <c r="AB17" s="11">
        <f>0.23*12*AB35</f>
        <v>1410.0840000000001</v>
      </c>
      <c r="AC17" s="11">
        <f t="shared" ref="AC17:AV17" si="35">0.23*12*AC35</f>
        <v>1376.9639999999999</v>
      </c>
      <c r="AD17" s="11">
        <f t="shared" si="35"/>
        <v>1433.268</v>
      </c>
      <c r="AE17" s="11">
        <f t="shared" si="35"/>
        <v>1560.2280000000001</v>
      </c>
      <c r="AF17" s="11">
        <f t="shared" si="35"/>
        <v>1478.5320000000002</v>
      </c>
      <c r="AG17" s="11">
        <f t="shared" si="35"/>
        <v>1628.4</v>
      </c>
      <c r="AH17" s="11">
        <f t="shared" si="35"/>
        <v>1235.3760000000002</v>
      </c>
      <c r="AI17" s="11">
        <f t="shared" si="35"/>
        <v>1235.9280000000001</v>
      </c>
      <c r="AJ17" s="11">
        <f t="shared" si="35"/>
        <v>1401.2520000000002</v>
      </c>
      <c r="AK17" s="11">
        <f t="shared" si="35"/>
        <v>1410.0840000000001</v>
      </c>
      <c r="AL17" s="11">
        <f t="shared" si="35"/>
        <v>1404.8400000000001</v>
      </c>
      <c r="AM17" s="11">
        <f t="shared" si="35"/>
        <v>1389.9360000000001</v>
      </c>
      <c r="AN17" s="11">
        <f t="shared" si="35"/>
        <v>1252.4880000000001</v>
      </c>
      <c r="AO17" s="11">
        <f t="shared" si="35"/>
        <v>1964.0160000000003</v>
      </c>
      <c r="AP17" s="11">
        <f t="shared" si="35"/>
        <v>1973.4</v>
      </c>
      <c r="AQ17" s="11">
        <f t="shared" si="35"/>
        <v>1429.1279999999999</v>
      </c>
      <c r="AR17" s="11">
        <f t="shared" si="35"/>
        <v>1425.2640000000001</v>
      </c>
      <c r="AS17" s="11">
        <f t="shared" si="35"/>
        <v>1960.7040000000002</v>
      </c>
      <c r="AT17" s="11">
        <f t="shared" si="35"/>
        <v>1411.74</v>
      </c>
      <c r="AU17" s="11">
        <f t="shared" si="35"/>
        <v>1386.9</v>
      </c>
      <c r="AV17" s="11">
        <f t="shared" si="35"/>
        <v>209.48400000000004</v>
      </c>
      <c r="AW17" s="11" t="s">
        <v>41</v>
      </c>
      <c r="AX17" s="23">
        <v>0.23</v>
      </c>
      <c r="AY17" s="11">
        <f>0.23*12*AY35</f>
        <v>1920.9600000000003</v>
      </c>
      <c r="AZ17" s="11">
        <f>0.23*12*AZ35</f>
        <v>1428.3000000000002</v>
      </c>
      <c r="BA17" s="23">
        <f>0.15+0.23</f>
        <v>0.38</v>
      </c>
      <c r="BB17" s="11">
        <f>0.38*12*BB35</f>
        <v>874.15200000000004</v>
      </c>
    </row>
    <row r="18" spans="1:54" s="1" customFormat="1" ht="57.75" customHeight="1" x14ac:dyDescent="0.2">
      <c r="A18" s="80" t="s">
        <v>32</v>
      </c>
      <c r="B18" s="81"/>
      <c r="C18" s="81"/>
      <c r="D18" s="81"/>
      <c r="E18" s="81"/>
      <c r="F18" s="82"/>
      <c r="G18" s="12" t="s">
        <v>11</v>
      </c>
      <c r="H18" s="11">
        <v>0.17</v>
      </c>
      <c r="I18" s="11">
        <f t="shared" ref="I18:K18" si="36">0.17*12*I35</f>
        <v>1534.2840000000001</v>
      </c>
      <c r="J18" s="11">
        <f t="shared" ref="J18" si="37">0.17*12*J35</f>
        <v>542.23200000000008</v>
      </c>
      <c r="K18" s="11">
        <f t="shared" si="36"/>
        <v>1130.364</v>
      </c>
      <c r="L18" s="12" t="s">
        <v>11</v>
      </c>
      <c r="M18" s="23">
        <v>0.15</v>
      </c>
      <c r="N18" s="11">
        <f>0.15*12*N35</f>
        <v>1270.6199999999999</v>
      </c>
      <c r="O18" s="12" t="s">
        <v>11</v>
      </c>
      <c r="P18" s="11">
        <v>0.27</v>
      </c>
      <c r="Q18" s="11">
        <f>0.27*12*Q35</f>
        <v>1760.94</v>
      </c>
      <c r="R18" s="11">
        <f t="shared" ref="R18:S18" si="38">0.27*12*R35</f>
        <v>1361.7720000000002</v>
      </c>
      <c r="S18" s="11">
        <f t="shared" si="38"/>
        <v>2292.9480000000003</v>
      </c>
      <c r="T18" s="12" t="s">
        <v>11</v>
      </c>
      <c r="U18" s="59">
        <v>0.12</v>
      </c>
      <c r="V18" s="11">
        <f>0.12*12*V35</f>
        <v>751.82399999999996</v>
      </c>
      <c r="W18" s="11">
        <f t="shared" ref="W18:Y18" si="39">0.12*12*W35</f>
        <v>700.41599999999994</v>
      </c>
      <c r="X18" s="11">
        <f t="shared" si="39"/>
        <v>748.51199999999994</v>
      </c>
      <c r="Y18" s="11">
        <f t="shared" si="39"/>
        <v>762.3359999999999</v>
      </c>
      <c r="Z18" s="12" t="s">
        <v>11</v>
      </c>
      <c r="AA18" s="23">
        <v>0.14000000000000001</v>
      </c>
      <c r="AB18" s="11">
        <f>0.14*12*AB35</f>
        <v>858.31200000000001</v>
      </c>
      <c r="AC18" s="11">
        <f t="shared" ref="AC18:AV18" si="40">0.14*12*AC35</f>
        <v>838.15200000000004</v>
      </c>
      <c r="AD18" s="11">
        <f t="shared" si="40"/>
        <v>872.42399999999998</v>
      </c>
      <c r="AE18" s="11">
        <f t="shared" si="40"/>
        <v>949.70400000000006</v>
      </c>
      <c r="AF18" s="11">
        <f t="shared" si="40"/>
        <v>899.97600000000011</v>
      </c>
      <c r="AG18" s="11">
        <f t="shared" si="40"/>
        <v>991.2</v>
      </c>
      <c r="AH18" s="11">
        <f t="shared" si="40"/>
        <v>751.96800000000007</v>
      </c>
      <c r="AI18" s="11">
        <f t="shared" si="40"/>
        <v>752.30400000000009</v>
      </c>
      <c r="AJ18" s="11">
        <f t="shared" si="40"/>
        <v>852.93600000000004</v>
      </c>
      <c r="AK18" s="11">
        <f t="shared" si="40"/>
        <v>858.31200000000001</v>
      </c>
      <c r="AL18" s="11">
        <f t="shared" si="40"/>
        <v>855.12000000000012</v>
      </c>
      <c r="AM18" s="11">
        <f t="shared" si="40"/>
        <v>846.04800000000012</v>
      </c>
      <c r="AN18" s="11">
        <f t="shared" si="40"/>
        <v>762.38400000000013</v>
      </c>
      <c r="AO18" s="11">
        <f t="shared" si="40"/>
        <v>1195.4880000000001</v>
      </c>
      <c r="AP18" s="11">
        <f t="shared" si="40"/>
        <v>1201.2</v>
      </c>
      <c r="AQ18" s="11">
        <f t="shared" si="40"/>
        <v>869.904</v>
      </c>
      <c r="AR18" s="11">
        <f t="shared" si="40"/>
        <v>867.55200000000002</v>
      </c>
      <c r="AS18" s="11">
        <f t="shared" si="40"/>
        <v>1193.472</v>
      </c>
      <c r="AT18" s="11">
        <f t="shared" si="40"/>
        <v>859.32</v>
      </c>
      <c r="AU18" s="11">
        <f t="shared" si="40"/>
        <v>844.2</v>
      </c>
      <c r="AV18" s="11">
        <f t="shared" si="40"/>
        <v>127.51200000000001</v>
      </c>
      <c r="AW18" s="12" t="s">
        <v>11</v>
      </c>
      <c r="AX18" s="23">
        <v>0.14000000000000001</v>
      </c>
      <c r="AY18" s="11">
        <f>0.14*12*AY35</f>
        <v>1169.2800000000002</v>
      </c>
      <c r="AZ18" s="11">
        <f>0.14*12*AZ35</f>
        <v>869.40000000000009</v>
      </c>
      <c r="BA18" s="23">
        <v>0.27</v>
      </c>
      <c r="BB18" s="11">
        <f>0.27*12*BB35</f>
        <v>621.10799999999995</v>
      </c>
    </row>
    <row r="19" spans="1:54" s="1" customFormat="1" ht="23.25" customHeight="1" x14ac:dyDescent="0.2">
      <c r="A19" s="66" t="s">
        <v>33</v>
      </c>
      <c r="B19" s="62"/>
      <c r="C19" s="62"/>
      <c r="D19" s="62"/>
      <c r="E19" s="62"/>
      <c r="F19" s="62"/>
      <c r="G19" s="11" t="s">
        <v>42</v>
      </c>
      <c r="H19" s="11">
        <v>0.05</v>
      </c>
      <c r="I19" s="11">
        <f t="shared" ref="I19:K19" si="41">0.05*12*I35</f>
        <v>451.2600000000001</v>
      </c>
      <c r="J19" s="11">
        <f t="shared" ref="J19" si="42">0.05*12*J35</f>
        <v>159.48000000000002</v>
      </c>
      <c r="K19" s="11">
        <f t="shared" si="41"/>
        <v>332.46000000000004</v>
      </c>
      <c r="L19" s="11" t="s">
        <v>42</v>
      </c>
      <c r="M19" s="23">
        <v>0.05</v>
      </c>
      <c r="N19" s="11">
        <f t="shared" ref="N19" si="43">0.05*12*N35</f>
        <v>423.54000000000008</v>
      </c>
      <c r="O19" s="11" t="s">
        <v>42</v>
      </c>
      <c r="P19" s="11">
        <v>0.05</v>
      </c>
      <c r="Q19" s="11">
        <f t="shared" ref="Q19:S19" si="44">0.05*12*Q35</f>
        <v>326.10000000000002</v>
      </c>
      <c r="R19" s="11">
        <f t="shared" si="44"/>
        <v>252.18000000000004</v>
      </c>
      <c r="S19" s="11">
        <f t="shared" si="44"/>
        <v>424.62000000000012</v>
      </c>
      <c r="T19" s="11" t="s">
        <v>42</v>
      </c>
      <c r="U19" s="59">
        <v>0.05</v>
      </c>
      <c r="V19" s="11">
        <f t="shared" ref="V19:Y19" si="45">0.05*12*V35</f>
        <v>313.26000000000005</v>
      </c>
      <c r="W19" s="11">
        <f t="shared" si="45"/>
        <v>291.84000000000003</v>
      </c>
      <c r="X19" s="11">
        <f t="shared" si="45"/>
        <v>311.88</v>
      </c>
      <c r="Y19" s="11">
        <f t="shared" si="45"/>
        <v>317.64000000000004</v>
      </c>
      <c r="Z19" s="11" t="s">
        <v>42</v>
      </c>
      <c r="AA19" s="23">
        <v>0.05</v>
      </c>
      <c r="AB19" s="11">
        <f t="shared" ref="AB19:AC19" si="46">0.05*12*AB35</f>
        <v>306.54000000000002</v>
      </c>
      <c r="AC19" s="11">
        <f t="shared" si="46"/>
        <v>299.34000000000003</v>
      </c>
      <c r="AD19" s="11">
        <f t="shared" ref="AD19:AG19" si="47">0.05*12*AD35</f>
        <v>311.58000000000004</v>
      </c>
      <c r="AE19" s="11">
        <f t="shared" si="47"/>
        <v>339.18</v>
      </c>
      <c r="AF19" s="11">
        <f t="shared" si="47"/>
        <v>321.42000000000007</v>
      </c>
      <c r="AG19" s="11">
        <f t="shared" si="47"/>
        <v>354.00000000000006</v>
      </c>
      <c r="AH19" s="11">
        <f t="shared" ref="AH19:AT19" si="48">0.05*12*AH35</f>
        <v>268.56000000000006</v>
      </c>
      <c r="AI19" s="11">
        <f t="shared" si="48"/>
        <v>268.68000000000006</v>
      </c>
      <c r="AJ19" s="11">
        <f t="shared" si="48"/>
        <v>304.62000000000006</v>
      </c>
      <c r="AK19" s="11">
        <f t="shared" si="48"/>
        <v>306.54000000000002</v>
      </c>
      <c r="AL19" s="11">
        <f t="shared" ref="AL19:AP19" si="49">0.05*12*AL35</f>
        <v>305.40000000000003</v>
      </c>
      <c r="AM19" s="11">
        <f t="shared" si="49"/>
        <v>302.16000000000008</v>
      </c>
      <c r="AN19" s="11">
        <f t="shared" si="49"/>
        <v>272.28000000000003</v>
      </c>
      <c r="AO19" s="11">
        <f t="shared" si="49"/>
        <v>426.96000000000009</v>
      </c>
      <c r="AP19" s="11">
        <f t="shared" si="49"/>
        <v>429.00000000000006</v>
      </c>
      <c r="AQ19" s="11">
        <f t="shared" si="48"/>
        <v>310.68</v>
      </c>
      <c r="AR19" s="11">
        <f t="shared" si="48"/>
        <v>309.84000000000003</v>
      </c>
      <c r="AS19" s="11">
        <f t="shared" si="48"/>
        <v>426.24000000000007</v>
      </c>
      <c r="AT19" s="11">
        <f t="shared" si="48"/>
        <v>306.90000000000003</v>
      </c>
      <c r="AU19" s="11">
        <f t="shared" ref="AU19:AV19" si="50">0.05*12*AU35</f>
        <v>301.50000000000006</v>
      </c>
      <c r="AV19" s="11">
        <f t="shared" si="50"/>
        <v>45.540000000000013</v>
      </c>
      <c r="AW19" s="11" t="s">
        <v>42</v>
      </c>
      <c r="AX19" s="23">
        <v>0.05</v>
      </c>
      <c r="AY19" s="11">
        <f>0.05*12*AY35</f>
        <v>417.60000000000008</v>
      </c>
      <c r="AZ19" s="11">
        <f>0.05*12*AZ35</f>
        <v>310.50000000000006</v>
      </c>
      <c r="BA19" s="23">
        <v>0.05</v>
      </c>
      <c r="BB19" s="11">
        <f t="shared" ref="BB19" si="51">0.05*12*BB35</f>
        <v>115.02000000000001</v>
      </c>
    </row>
    <row r="20" spans="1:54" s="1" customFormat="1" ht="33.75" x14ac:dyDescent="0.2">
      <c r="A20" s="62" t="s">
        <v>34</v>
      </c>
      <c r="B20" s="62"/>
      <c r="C20" s="62"/>
      <c r="D20" s="62"/>
      <c r="E20" s="62"/>
      <c r="F20" s="62"/>
      <c r="G20" s="13" t="s">
        <v>47</v>
      </c>
      <c r="H20" s="11">
        <v>6.12</v>
      </c>
      <c r="I20" s="11">
        <f>6.12*12*I35</f>
        <v>55234.224000000002</v>
      </c>
      <c r="J20" s="11">
        <f t="shared" ref="J20:K20" si="52">6.12*12*J35</f>
        <v>19520.351999999999</v>
      </c>
      <c r="K20" s="11">
        <f t="shared" si="52"/>
        <v>40693.103999999999</v>
      </c>
      <c r="L20" s="13" t="s">
        <v>47</v>
      </c>
      <c r="M20" s="23">
        <v>6.12</v>
      </c>
      <c r="N20" s="11">
        <f>6.12*12*N35</f>
        <v>51841.295999999995</v>
      </c>
      <c r="O20" s="13" t="s">
        <v>47</v>
      </c>
      <c r="P20" s="11">
        <v>3.89</v>
      </c>
      <c r="Q20" s="11">
        <f>3.89*12*Q35</f>
        <v>25370.579999999998</v>
      </c>
      <c r="R20" s="11">
        <f t="shared" ref="R20:S20" si="53">3.89*12*R35</f>
        <v>19619.603999999999</v>
      </c>
      <c r="S20" s="11">
        <f t="shared" si="53"/>
        <v>33035.436000000002</v>
      </c>
      <c r="T20" s="13" t="s">
        <v>47</v>
      </c>
      <c r="U20" s="59">
        <v>6.12</v>
      </c>
      <c r="V20" s="11">
        <f>6.12*12*V35</f>
        <v>38343.023999999998</v>
      </c>
      <c r="W20" s="11">
        <f t="shared" ref="W20:Y20" si="54">6.12*12*W35</f>
        <v>35721.216</v>
      </c>
      <c r="X20" s="11">
        <f t="shared" si="54"/>
        <v>38174.111999999994</v>
      </c>
      <c r="Y20" s="11">
        <f t="shared" si="54"/>
        <v>38879.135999999999</v>
      </c>
      <c r="Z20" s="13" t="s">
        <v>47</v>
      </c>
      <c r="AA20" s="23">
        <v>6.12</v>
      </c>
      <c r="AB20" s="11">
        <f>6.12*12*AB35</f>
        <v>37520.495999999999</v>
      </c>
      <c r="AC20" s="11">
        <f t="shared" ref="AC20:AV20" si="55">6.12*12*AC35</f>
        <v>36639.216</v>
      </c>
      <c r="AD20" s="11">
        <f t="shared" si="55"/>
        <v>38137.391999999993</v>
      </c>
      <c r="AE20" s="11">
        <f t="shared" si="55"/>
        <v>41515.631999999998</v>
      </c>
      <c r="AF20" s="11">
        <f t="shared" si="55"/>
        <v>39341.808000000005</v>
      </c>
      <c r="AG20" s="11">
        <f t="shared" si="55"/>
        <v>43329.599999999999</v>
      </c>
      <c r="AH20" s="11">
        <f t="shared" si="55"/>
        <v>32871.743999999999</v>
      </c>
      <c r="AI20" s="11">
        <f t="shared" si="55"/>
        <v>32886.432000000001</v>
      </c>
      <c r="AJ20" s="11">
        <f t="shared" si="55"/>
        <v>37285.487999999998</v>
      </c>
      <c r="AK20" s="11">
        <f t="shared" si="55"/>
        <v>37520.495999999999</v>
      </c>
      <c r="AL20" s="11">
        <f t="shared" si="55"/>
        <v>37380.959999999999</v>
      </c>
      <c r="AM20" s="11">
        <f t="shared" si="55"/>
        <v>36984.383999999998</v>
      </c>
      <c r="AN20" s="11">
        <f t="shared" si="55"/>
        <v>33327.072</v>
      </c>
      <c r="AO20" s="11">
        <f t="shared" si="55"/>
        <v>52259.904000000002</v>
      </c>
      <c r="AP20" s="11">
        <f t="shared" si="55"/>
        <v>52509.599999999999</v>
      </c>
      <c r="AQ20" s="11">
        <f t="shared" si="55"/>
        <v>38027.231999999996</v>
      </c>
      <c r="AR20" s="11">
        <f t="shared" si="55"/>
        <v>37924.415999999997</v>
      </c>
      <c r="AS20" s="11">
        <f t="shared" si="55"/>
        <v>52171.775999999998</v>
      </c>
      <c r="AT20" s="11">
        <f t="shared" si="55"/>
        <v>37564.559999999998</v>
      </c>
      <c r="AU20" s="11">
        <f t="shared" si="55"/>
        <v>36903.599999999999</v>
      </c>
      <c r="AV20" s="11">
        <f t="shared" si="55"/>
        <v>5574.0960000000005</v>
      </c>
      <c r="AW20" s="13" t="s">
        <v>47</v>
      </c>
      <c r="AX20" s="23">
        <v>6.12</v>
      </c>
      <c r="AY20" s="11">
        <f>6.12*12*AY35</f>
        <v>51114.239999999998</v>
      </c>
      <c r="AZ20" s="11">
        <f>6.12*12*AZ35</f>
        <v>38005.199999999997</v>
      </c>
      <c r="BA20" s="23">
        <v>3.89</v>
      </c>
      <c r="BB20" s="11">
        <f>3.892*12*BB35</f>
        <v>8953.1567999999988</v>
      </c>
    </row>
    <row r="21" spans="1:54" s="1" customFormat="1" x14ac:dyDescent="0.2">
      <c r="A21" s="62" t="s">
        <v>35</v>
      </c>
      <c r="B21" s="62"/>
      <c r="C21" s="62"/>
      <c r="D21" s="62"/>
      <c r="E21" s="62"/>
      <c r="F21" s="62"/>
      <c r="G21" s="11" t="s">
        <v>3</v>
      </c>
      <c r="H21" s="11">
        <v>0</v>
      </c>
      <c r="I21" s="11">
        <f t="shared" ref="I21:K21" si="56">0*12*I35</f>
        <v>0</v>
      </c>
      <c r="J21" s="11">
        <f t="shared" ref="J21" si="57">0*12*J35</f>
        <v>0</v>
      </c>
      <c r="K21" s="11">
        <f t="shared" si="56"/>
        <v>0</v>
      </c>
      <c r="L21" s="11" t="s">
        <v>3</v>
      </c>
      <c r="M21" s="23">
        <v>0</v>
      </c>
      <c r="N21" s="11">
        <f t="shared" ref="N21" si="58">0*12*N35</f>
        <v>0</v>
      </c>
      <c r="O21" s="11" t="s">
        <v>3</v>
      </c>
      <c r="P21" s="11">
        <v>4.7</v>
      </c>
      <c r="Q21" s="11">
        <f>4.7*12*Q35</f>
        <v>30653.4</v>
      </c>
      <c r="R21" s="11">
        <f t="shared" ref="R21:S21" si="59">4.7*12*R35</f>
        <v>23704.920000000002</v>
      </c>
      <c r="S21" s="11">
        <f t="shared" si="59"/>
        <v>39914.280000000006</v>
      </c>
      <c r="T21" s="11" t="s">
        <v>3</v>
      </c>
      <c r="U21" s="59">
        <v>4.7</v>
      </c>
      <c r="V21" s="11">
        <f>4.7*12*V35</f>
        <v>29446.440000000006</v>
      </c>
      <c r="W21" s="11">
        <f t="shared" ref="W21:Y21" si="60">4.7*12*W35</f>
        <v>27432.960000000003</v>
      </c>
      <c r="X21" s="11">
        <f t="shared" si="60"/>
        <v>29316.720000000001</v>
      </c>
      <c r="Y21" s="11">
        <f t="shared" si="60"/>
        <v>29858.160000000003</v>
      </c>
      <c r="Z21" s="11" t="s">
        <v>3</v>
      </c>
      <c r="AA21" s="23">
        <v>4.7</v>
      </c>
      <c r="AB21" s="11">
        <f>4.7*12*AB35</f>
        <v>28814.760000000002</v>
      </c>
      <c r="AC21" s="11">
        <f t="shared" ref="AC21:AV21" si="61">4.7*12*AC35</f>
        <v>28137.960000000003</v>
      </c>
      <c r="AD21" s="11">
        <f t="shared" si="61"/>
        <v>29288.52</v>
      </c>
      <c r="AE21" s="11">
        <f t="shared" si="61"/>
        <v>31882.920000000002</v>
      </c>
      <c r="AF21" s="11">
        <f t="shared" si="61"/>
        <v>30213.480000000007</v>
      </c>
      <c r="AG21" s="11">
        <f t="shared" si="61"/>
        <v>33276</v>
      </c>
      <c r="AH21" s="11">
        <f t="shared" si="61"/>
        <v>25244.640000000003</v>
      </c>
      <c r="AI21" s="11">
        <f t="shared" si="61"/>
        <v>25255.920000000002</v>
      </c>
      <c r="AJ21" s="11">
        <f t="shared" si="61"/>
        <v>28634.280000000002</v>
      </c>
      <c r="AK21" s="11">
        <f t="shared" si="61"/>
        <v>28814.760000000002</v>
      </c>
      <c r="AL21" s="11">
        <f t="shared" si="61"/>
        <v>28707.600000000002</v>
      </c>
      <c r="AM21" s="11">
        <f t="shared" si="61"/>
        <v>28403.040000000005</v>
      </c>
      <c r="AN21" s="11">
        <f t="shared" si="61"/>
        <v>25594.320000000003</v>
      </c>
      <c r="AO21" s="11">
        <f t="shared" si="61"/>
        <v>40134.240000000005</v>
      </c>
      <c r="AP21" s="11">
        <f t="shared" si="61"/>
        <v>40326.000000000007</v>
      </c>
      <c r="AQ21" s="11">
        <f t="shared" si="61"/>
        <v>29203.920000000002</v>
      </c>
      <c r="AR21" s="11">
        <f t="shared" si="61"/>
        <v>29124.960000000003</v>
      </c>
      <c r="AS21" s="11">
        <f t="shared" si="61"/>
        <v>40066.560000000005</v>
      </c>
      <c r="AT21" s="11">
        <f t="shared" si="61"/>
        <v>28848.600000000002</v>
      </c>
      <c r="AU21" s="11">
        <f t="shared" si="61"/>
        <v>28341.000000000004</v>
      </c>
      <c r="AV21" s="11">
        <f t="shared" si="61"/>
        <v>4280.7600000000011</v>
      </c>
      <c r="AW21" s="11" t="s">
        <v>3</v>
      </c>
      <c r="AX21" s="23">
        <v>4.7</v>
      </c>
      <c r="AY21" s="11">
        <f>4.7*12*AY35</f>
        <v>39254.400000000001</v>
      </c>
      <c r="AZ21" s="11">
        <f>4.7*12*AZ35</f>
        <v>29187.000000000004</v>
      </c>
      <c r="BA21" s="23">
        <v>4.7</v>
      </c>
      <c r="BB21" s="11">
        <f>4.7*12*BB35</f>
        <v>10811.880000000001</v>
      </c>
    </row>
    <row r="22" spans="1:54" s="1" customFormat="1" ht="13.5" customHeight="1" x14ac:dyDescent="0.2">
      <c r="A22" s="63" t="s">
        <v>9</v>
      </c>
      <c r="B22" s="64"/>
      <c r="C22" s="64"/>
      <c r="D22" s="64"/>
      <c r="E22" s="64"/>
      <c r="F22" s="65"/>
      <c r="G22" s="10"/>
      <c r="H22" s="14">
        <f t="shared" ref="H22" si="62">SUM(H23:H27)</f>
        <v>1.1100000000000001</v>
      </c>
      <c r="I22" s="14">
        <f t="shared" ref="I22:K22" si="63">SUM(I23:I27)</f>
        <v>10017.972000000002</v>
      </c>
      <c r="J22" s="14">
        <f t="shared" ref="J22" si="64">SUM(J23:J27)</f>
        <v>3540.4560000000001</v>
      </c>
      <c r="K22" s="14">
        <f t="shared" si="63"/>
        <v>7380.612000000001</v>
      </c>
      <c r="L22" s="10"/>
      <c r="M22" s="24">
        <f t="shared" ref="M22" si="65">SUM(M23:M27)</f>
        <v>4.25</v>
      </c>
      <c r="N22" s="14">
        <f t="shared" ref="N22" si="66">SUM(N23:N27)</f>
        <v>36000.9</v>
      </c>
      <c r="O22" s="14"/>
      <c r="P22" s="14">
        <v>3.23</v>
      </c>
      <c r="Q22" s="14">
        <f t="shared" ref="Q22:S22" si="67">SUM(Q23:Q27)</f>
        <v>21066.06</v>
      </c>
      <c r="R22" s="14">
        <f t="shared" si="67"/>
        <v>16290.828</v>
      </c>
      <c r="S22" s="14">
        <f t="shared" si="67"/>
        <v>27430.452000000005</v>
      </c>
      <c r="T22" s="10"/>
      <c r="U22" s="60">
        <f>U23+U24+U25+U26+U27</f>
        <v>1.05</v>
      </c>
      <c r="V22" s="14">
        <f t="shared" ref="V22:Y22" si="68">SUM(V23:V27)</f>
        <v>6578.4600000000009</v>
      </c>
      <c r="W22" s="14">
        <f t="shared" si="68"/>
        <v>6128.6399999999994</v>
      </c>
      <c r="X22" s="14">
        <f t="shared" si="68"/>
        <v>6549.48</v>
      </c>
      <c r="Y22" s="14">
        <f t="shared" si="68"/>
        <v>6670.44</v>
      </c>
      <c r="Z22" s="10"/>
      <c r="AA22" s="24">
        <f t="shared" ref="AA22" si="69">SUM(AA23:AA27)</f>
        <v>2.83</v>
      </c>
      <c r="AB22" s="14">
        <f t="shared" ref="AB22" si="70">SUM(AB23:AB27)</f>
        <v>17350.163999999997</v>
      </c>
      <c r="AC22" s="14">
        <f t="shared" ref="AC22:AD22" si="71">SUM(AC23:AC27)</f>
        <v>16942.644</v>
      </c>
      <c r="AD22" s="14">
        <f t="shared" si="71"/>
        <v>17635.428</v>
      </c>
      <c r="AE22" s="14">
        <f t="shared" ref="AE22:AH22" si="72">SUM(AE23:AE27)</f>
        <v>19197.588</v>
      </c>
      <c r="AF22" s="14">
        <f t="shared" si="72"/>
        <v>18192.371999999999</v>
      </c>
      <c r="AG22" s="14">
        <f t="shared" si="72"/>
        <v>20036.400000000001</v>
      </c>
      <c r="AH22" s="14">
        <f t="shared" si="72"/>
        <v>15200.496000000001</v>
      </c>
      <c r="AI22" s="14">
        <f t="shared" ref="AI22:AU22" si="73">SUM(AI23:AI27)</f>
        <v>15207.288</v>
      </c>
      <c r="AJ22" s="14">
        <f t="shared" si="73"/>
        <v>17241.491999999998</v>
      </c>
      <c r="AK22" s="14">
        <f t="shared" si="73"/>
        <v>17350.163999999997</v>
      </c>
      <c r="AL22" s="14">
        <f t="shared" ref="AL22:AP22" si="74">SUM(AL23:AL27)</f>
        <v>17285.64</v>
      </c>
      <c r="AM22" s="14">
        <f t="shared" si="74"/>
        <v>17102.256000000001</v>
      </c>
      <c r="AN22" s="14">
        <f t="shared" si="74"/>
        <v>15411.048000000001</v>
      </c>
      <c r="AO22" s="14">
        <f t="shared" si="74"/>
        <v>24165.936000000002</v>
      </c>
      <c r="AP22" s="14">
        <f t="shared" si="74"/>
        <v>24281.399999999998</v>
      </c>
      <c r="AQ22" s="14">
        <f t="shared" si="73"/>
        <v>17584.487999999998</v>
      </c>
      <c r="AR22" s="14">
        <f t="shared" si="73"/>
        <v>17536.944</v>
      </c>
      <c r="AS22" s="14">
        <f t="shared" si="73"/>
        <v>24125.183999999997</v>
      </c>
      <c r="AT22" s="14">
        <f t="shared" si="73"/>
        <v>17370.54</v>
      </c>
      <c r="AU22" s="14">
        <f t="shared" si="73"/>
        <v>17064.900000000001</v>
      </c>
      <c r="AV22" s="14">
        <f t="shared" ref="AV22:AY22" si="75">SUM(AV23:AV27)</f>
        <v>2577.5640000000003</v>
      </c>
      <c r="AW22" s="10"/>
      <c r="AX22" s="24">
        <f t="shared" ref="AX22" si="76">SUM(AX23:AX27)</f>
        <v>1.1600000000000001</v>
      </c>
      <c r="AY22" s="14">
        <f t="shared" si="75"/>
        <v>9688.32</v>
      </c>
      <c r="AZ22" s="14">
        <f t="shared" ref="AZ22:BB22" si="77">SUM(AZ23:AZ27)</f>
        <v>7203.6</v>
      </c>
      <c r="BA22" s="24">
        <f t="shared" ref="BA22" si="78">SUM(BA23:BA27)</f>
        <v>1.61</v>
      </c>
      <c r="BB22" s="14">
        <f t="shared" si="77"/>
        <v>3703.6440000000002</v>
      </c>
    </row>
    <row r="23" spans="1:54" s="1" customFormat="1" x14ac:dyDescent="0.2">
      <c r="A23" s="66" t="s">
        <v>37</v>
      </c>
      <c r="B23" s="62"/>
      <c r="C23" s="62"/>
      <c r="D23" s="62"/>
      <c r="E23" s="62"/>
      <c r="F23" s="62"/>
      <c r="G23" s="11" t="s">
        <v>3</v>
      </c>
      <c r="H23" s="11">
        <v>0.51</v>
      </c>
      <c r="I23" s="11">
        <f>0.51*12*I35</f>
        <v>4602.8519999999999</v>
      </c>
      <c r="J23" s="11">
        <f t="shared" ref="J23:K23" si="79">0.51*12*J35</f>
        <v>1626.6960000000001</v>
      </c>
      <c r="K23" s="11">
        <f t="shared" si="79"/>
        <v>3391.0920000000001</v>
      </c>
      <c r="L23" s="11" t="s">
        <v>3</v>
      </c>
      <c r="M23" s="23">
        <v>0.51</v>
      </c>
      <c r="N23" s="11">
        <f>0.51*12*N35</f>
        <v>4320.1080000000002</v>
      </c>
      <c r="O23" s="11" t="s">
        <v>3</v>
      </c>
      <c r="P23" s="11">
        <v>1.02</v>
      </c>
      <c r="Q23" s="11">
        <f>1.02*12*Q35</f>
        <v>6652.4400000000005</v>
      </c>
      <c r="R23" s="11">
        <f t="shared" ref="R23:S23" si="80">1.02*12*R35</f>
        <v>5144.4720000000007</v>
      </c>
      <c r="S23" s="11">
        <f t="shared" si="80"/>
        <v>8662.2480000000014</v>
      </c>
      <c r="T23" s="11" t="s">
        <v>3</v>
      </c>
      <c r="U23" s="59">
        <v>0.51</v>
      </c>
      <c r="V23" s="11">
        <f>0.51*12*V35</f>
        <v>3195.2520000000004</v>
      </c>
      <c r="W23" s="11">
        <f t="shared" ref="W23:Y23" si="81">0.51*12*W35</f>
        <v>2976.768</v>
      </c>
      <c r="X23" s="11">
        <f t="shared" si="81"/>
        <v>3181.1759999999999</v>
      </c>
      <c r="Y23" s="11">
        <f t="shared" si="81"/>
        <v>3239.9279999999999</v>
      </c>
      <c r="Z23" s="11" t="s">
        <v>3</v>
      </c>
      <c r="AA23" s="23">
        <v>0.51</v>
      </c>
      <c r="AB23" s="11">
        <f>0.51*12*AB35</f>
        <v>3126.7080000000001</v>
      </c>
      <c r="AC23" s="11">
        <f t="shared" ref="AC23:AV23" si="82">0.51*12*AC35</f>
        <v>3053.268</v>
      </c>
      <c r="AD23" s="11">
        <f t="shared" si="82"/>
        <v>3178.116</v>
      </c>
      <c r="AE23" s="11">
        <f t="shared" si="82"/>
        <v>3459.636</v>
      </c>
      <c r="AF23" s="11">
        <f t="shared" si="82"/>
        <v>3278.4840000000004</v>
      </c>
      <c r="AG23" s="11">
        <f t="shared" si="82"/>
        <v>3610.8</v>
      </c>
      <c r="AH23" s="11">
        <f t="shared" si="82"/>
        <v>2739.3120000000004</v>
      </c>
      <c r="AI23" s="11">
        <f t="shared" si="82"/>
        <v>2740.5360000000001</v>
      </c>
      <c r="AJ23" s="11">
        <f t="shared" si="82"/>
        <v>3107.1239999999998</v>
      </c>
      <c r="AK23" s="11">
        <f t="shared" si="82"/>
        <v>3126.7080000000001</v>
      </c>
      <c r="AL23" s="11">
        <f t="shared" si="82"/>
        <v>3115.08</v>
      </c>
      <c r="AM23" s="11">
        <f t="shared" si="82"/>
        <v>3082.0320000000002</v>
      </c>
      <c r="AN23" s="11">
        <f t="shared" si="82"/>
        <v>2777.2560000000003</v>
      </c>
      <c r="AO23" s="11">
        <f t="shared" si="82"/>
        <v>4354.9920000000002</v>
      </c>
      <c r="AP23" s="11">
        <f t="shared" si="82"/>
        <v>4375.8</v>
      </c>
      <c r="AQ23" s="11">
        <f t="shared" si="82"/>
        <v>3168.9359999999997</v>
      </c>
      <c r="AR23" s="11">
        <f t="shared" si="82"/>
        <v>3160.3679999999999</v>
      </c>
      <c r="AS23" s="11">
        <f t="shared" si="82"/>
        <v>4347.6480000000001</v>
      </c>
      <c r="AT23" s="11">
        <f t="shared" si="82"/>
        <v>3130.38</v>
      </c>
      <c r="AU23" s="11">
        <f t="shared" si="82"/>
        <v>3075.3</v>
      </c>
      <c r="AV23" s="11">
        <f t="shared" si="82"/>
        <v>464.50800000000004</v>
      </c>
      <c r="AW23" s="11" t="s">
        <v>3</v>
      </c>
      <c r="AX23" s="23">
        <v>0.51</v>
      </c>
      <c r="AY23" s="11">
        <f>0.51*12*AY35</f>
        <v>4259.5200000000004</v>
      </c>
      <c r="AZ23" s="11">
        <f>0.51*12*AZ35</f>
        <v>3167.1</v>
      </c>
      <c r="BA23" s="23">
        <v>1.02</v>
      </c>
      <c r="BB23" s="11">
        <f>1.02*12*BB35</f>
        <v>2346.4079999999999</v>
      </c>
    </row>
    <row r="24" spans="1:54" s="1" customFormat="1" ht="25.5" customHeight="1" x14ac:dyDescent="0.2">
      <c r="A24" s="66" t="s">
        <v>27</v>
      </c>
      <c r="B24" s="62"/>
      <c r="C24" s="62"/>
      <c r="D24" s="62"/>
      <c r="E24" s="62"/>
      <c r="F24" s="62"/>
      <c r="G24" s="11" t="s">
        <v>2</v>
      </c>
      <c r="H24" s="11">
        <v>0</v>
      </c>
      <c r="I24" s="11">
        <f t="shared" ref="I24:K24" si="83">0*1242*I35</f>
        <v>0</v>
      </c>
      <c r="J24" s="11">
        <f t="shared" ref="J24" si="84">0*1242*J35</f>
        <v>0</v>
      </c>
      <c r="K24" s="11">
        <f t="shared" si="83"/>
        <v>0</v>
      </c>
      <c r="L24" s="11" t="s">
        <v>2</v>
      </c>
      <c r="M24" s="23">
        <v>0</v>
      </c>
      <c r="N24" s="11">
        <f t="shared" ref="N24" si="85">0*12*N35</f>
        <v>0</v>
      </c>
      <c r="O24" s="11" t="s">
        <v>2</v>
      </c>
      <c r="P24" s="11">
        <v>0</v>
      </c>
      <c r="Q24" s="11">
        <f t="shared" ref="Q24:S24" si="86">0*12*Q35</f>
        <v>0</v>
      </c>
      <c r="R24" s="11">
        <f t="shared" si="86"/>
        <v>0</v>
      </c>
      <c r="S24" s="11">
        <f t="shared" si="86"/>
        <v>0</v>
      </c>
      <c r="T24" s="11" t="s">
        <v>2</v>
      </c>
      <c r="U24" s="59">
        <v>0</v>
      </c>
      <c r="V24" s="11">
        <f t="shared" ref="V24:Y24" si="87">0*12*V35</f>
        <v>0</v>
      </c>
      <c r="W24" s="11">
        <f t="shared" si="87"/>
        <v>0</v>
      </c>
      <c r="X24" s="11">
        <f t="shared" si="87"/>
        <v>0</v>
      </c>
      <c r="Y24" s="11">
        <f t="shared" si="87"/>
        <v>0</v>
      </c>
      <c r="Z24" s="11" t="s">
        <v>2</v>
      </c>
      <c r="AA24" s="23">
        <v>0</v>
      </c>
      <c r="AB24" s="11">
        <f t="shared" ref="AB24:AC24" si="88">0*12*AB35</f>
        <v>0</v>
      </c>
      <c r="AC24" s="11">
        <f t="shared" si="88"/>
        <v>0</v>
      </c>
      <c r="AD24" s="11">
        <f t="shared" ref="AD24:AG24" si="89">0*12*AD35</f>
        <v>0</v>
      </c>
      <c r="AE24" s="11">
        <f t="shared" si="89"/>
        <v>0</v>
      </c>
      <c r="AF24" s="11">
        <f t="shared" si="89"/>
        <v>0</v>
      </c>
      <c r="AG24" s="11">
        <f t="shared" si="89"/>
        <v>0</v>
      </c>
      <c r="AH24" s="11">
        <f t="shared" ref="AH24:AT24" si="90">0*12*AH35</f>
        <v>0</v>
      </c>
      <c r="AI24" s="11">
        <f t="shared" si="90"/>
        <v>0</v>
      </c>
      <c r="AJ24" s="11">
        <f t="shared" si="90"/>
        <v>0</v>
      </c>
      <c r="AK24" s="11">
        <f t="shared" si="90"/>
        <v>0</v>
      </c>
      <c r="AL24" s="11">
        <f t="shared" ref="AL24:AP24" si="91">0*12*AL35</f>
        <v>0</v>
      </c>
      <c r="AM24" s="11">
        <f t="shared" si="91"/>
        <v>0</v>
      </c>
      <c r="AN24" s="11">
        <f t="shared" si="91"/>
        <v>0</v>
      </c>
      <c r="AO24" s="11">
        <f t="shared" si="91"/>
        <v>0</v>
      </c>
      <c r="AP24" s="11">
        <f t="shared" si="91"/>
        <v>0</v>
      </c>
      <c r="AQ24" s="11">
        <f t="shared" si="90"/>
        <v>0</v>
      </c>
      <c r="AR24" s="11">
        <f t="shared" si="90"/>
        <v>0</v>
      </c>
      <c r="AS24" s="11">
        <f t="shared" si="90"/>
        <v>0</v>
      </c>
      <c r="AT24" s="11">
        <f t="shared" si="90"/>
        <v>0</v>
      </c>
      <c r="AU24" s="11">
        <f t="shared" ref="AU24:AV24" si="92">0*12*AU35</f>
        <v>0</v>
      </c>
      <c r="AV24" s="11">
        <f t="shared" si="92"/>
        <v>0</v>
      </c>
      <c r="AW24" s="11" t="s">
        <v>2</v>
      </c>
      <c r="AX24" s="23">
        <v>0</v>
      </c>
      <c r="AY24" s="11">
        <f t="shared" ref="AY24:AZ24" si="93">0*12*AY35</f>
        <v>0</v>
      </c>
      <c r="AZ24" s="11">
        <f t="shared" si="93"/>
        <v>0</v>
      </c>
      <c r="BA24" s="23">
        <v>0</v>
      </c>
      <c r="BB24" s="11">
        <f t="shared" ref="BB24" si="94">0*12*BB35</f>
        <v>0</v>
      </c>
    </row>
    <row r="25" spans="1:54" s="1" customFormat="1" ht="25.5" customHeight="1" x14ac:dyDescent="0.2">
      <c r="A25" s="66" t="s">
        <v>28</v>
      </c>
      <c r="B25" s="66"/>
      <c r="C25" s="66"/>
      <c r="D25" s="66"/>
      <c r="E25" s="66"/>
      <c r="F25" s="66"/>
      <c r="G25" s="11" t="s">
        <v>7</v>
      </c>
      <c r="H25" s="11">
        <v>0</v>
      </c>
      <c r="I25" s="11">
        <f t="shared" ref="I25:K25" si="95">0*12*I35</f>
        <v>0</v>
      </c>
      <c r="J25" s="11">
        <f t="shared" ref="J25" si="96">0*12*J35</f>
        <v>0</v>
      </c>
      <c r="K25" s="11">
        <f t="shared" si="95"/>
        <v>0</v>
      </c>
      <c r="L25" s="11" t="s">
        <v>7</v>
      </c>
      <c r="M25" s="23">
        <v>0</v>
      </c>
      <c r="N25" s="11">
        <f t="shared" ref="N25" si="97">0*12*N35</f>
        <v>0</v>
      </c>
      <c r="O25" s="11" t="s">
        <v>7</v>
      </c>
      <c r="P25" s="11">
        <v>0</v>
      </c>
      <c r="Q25" s="11">
        <f t="shared" ref="Q25:S25" si="98">0*12*Q35</f>
        <v>0</v>
      </c>
      <c r="R25" s="11">
        <f t="shared" si="98"/>
        <v>0</v>
      </c>
      <c r="S25" s="11">
        <f t="shared" si="98"/>
        <v>0</v>
      </c>
      <c r="T25" s="11" t="s">
        <v>7</v>
      </c>
      <c r="U25" s="59">
        <v>0</v>
      </c>
      <c r="V25" s="11">
        <f t="shared" ref="V25:Y25" si="99">0*12*V35</f>
        <v>0</v>
      </c>
      <c r="W25" s="11">
        <f t="shared" si="99"/>
        <v>0</v>
      </c>
      <c r="X25" s="11">
        <f t="shared" si="99"/>
        <v>0</v>
      </c>
      <c r="Y25" s="11">
        <f t="shared" si="99"/>
        <v>0</v>
      </c>
      <c r="Z25" s="11" t="s">
        <v>7</v>
      </c>
      <c r="AA25" s="23">
        <v>0</v>
      </c>
      <c r="AB25" s="11">
        <f t="shared" ref="AB25:AC25" si="100">0*12*AB35</f>
        <v>0</v>
      </c>
      <c r="AC25" s="11">
        <f t="shared" si="100"/>
        <v>0</v>
      </c>
      <c r="AD25" s="11">
        <f t="shared" ref="AD25:AG25" si="101">0*12*AD35</f>
        <v>0</v>
      </c>
      <c r="AE25" s="11">
        <f t="shared" si="101"/>
        <v>0</v>
      </c>
      <c r="AF25" s="11">
        <f t="shared" si="101"/>
        <v>0</v>
      </c>
      <c r="AG25" s="11">
        <f t="shared" si="101"/>
        <v>0</v>
      </c>
      <c r="AH25" s="11">
        <f t="shared" ref="AH25:AT25" si="102">0*12*AH35</f>
        <v>0</v>
      </c>
      <c r="AI25" s="11">
        <f t="shared" si="102"/>
        <v>0</v>
      </c>
      <c r="AJ25" s="11">
        <f t="shared" si="102"/>
        <v>0</v>
      </c>
      <c r="AK25" s="11">
        <f t="shared" si="102"/>
        <v>0</v>
      </c>
      <c r="AL25" s="11">
        <f t="shared" ref="AL25:AP25" si="103">0*12*AL35</f>
        <v>0</v>
      </c>
      <c r="AM25" s="11">
        <f t="shared" si="103"/>
        <v>0</v>
      </c>
      <c r="AN25" s="11">
        <f t="shared" si="103"/>
        <v>0</v>
      </c>
      <c r="AO25" s="11">
        <f t="shared" si="103"/>
        <v>0</v>
      </c>
      <c r="AP25" s="11">
        <f t="shared" si="103"/>
        <v>0</v>
      </c>
      <c r="AQ25" s="11">
        <f t="shared" si="102"/>
        <v>0</v>
      </c>
      <c r="AR25" s="11">
        <f t="shared" si="102"/>
        <v>0</v>
      </c>
      <c r="AS25" s="11">
        <f t="shared" si="102"/>
        <v>0</v>
      </c>
      <c r="AT25" s="11">
        <f t="shared" si="102"/>
        <v>0</v>
      </c>
      <c r="AU25" s="11">
        <f t="shared" ref="AU25:AV25" si="104">0*12*AU35</f>
        <v>0</v>
      </c>
      <c r="AV25" s="11">
        <f t="shared" si="104"/>
        <v>0</v>
      </c>
      <c r="AW25" s="11" t="s">
        <v>7</v>
      </c>
      <c r="AX25" s="23">
        <v>0</v>
      </c>
      <c r="AY25" s="11">
        <f t="shared" ref="AY25:AZ25" si="105">0*12*AY35</f>
        <v>0</v>
      </c>
      <c r="AZ25" s="11">
        <f t="shared" si="105"/>
        <v>0</v>
      </c>
      <c r="BA25" s="23">
        <v>0</v>
      </c>
      <c r="BB25" s="11">
        <f t="shared" ref="BB25" si="106">0*12*BB35</f>
        <v>0</v>
      </c>
    </row>
    <row r="26" spans="1:54" s="1" customFormat="1" ht="57" customHeight="1" x14ac:dyDescent="0.2">
      <c r="A26" s="66" t="s">
        <v>29</v>
      </c>
      <c r="B26" s="66"/>
      <c r="C26" s="66"/>
      <c r="D26" s="66"/>
      <c r="E26" s="66"/>
      <c r="F26" s="66"/>
      <c r="G26" s="12" t="s">
        <v>8</v>
      </c>
      <c r="H26" s="11">
        <f>0.03+0.01</f>
        <v>0.04</v>
      </c>
      <c r="I26" s="11">
        <f t="shared" ref="I26:K26" si="107">0.04*12*I35</f>
        <v>361.00799999999998</v>
      </c>
      <c r="J26" s="11">
        <f t="shared" ref="J26" si="108">0.04*12*J35</f>
        <v>127.584</v>
      </c>
      <c r="K26" s="11">
        <f t="shared" si="107"/>
        <v>265.96800000000002</v>
      </c>
      <c r="L26" s="12" t="s">
        <v>8</v>
      </c>
      <c r="M26" s="23">
        <v>0.04</v>
      </c>
      <c r="N26" s="11">
        <f t="shared" ref="N26" si="109">0.04*12*N35</f>
        <v>338.83199999999999</v>
      </c>
      <c r="O26" s="12" t="s">
        <v>8</v>
      </c>
      <c r="P26" s="11">
        <v>0.04</v>
      </c>
      <c r="Q26" s="11">
        <f t="shared" ref="Q26:S26" si="110">0.04*12*Q35</f>
        <v>260.88</v>
      </c>
      <c r="R26" s="11">
        <f t="shared" si="110"/>
        <v>201.744</v>
      </c>
      <c r="S26" s="11">
        <f t="shared" si="110"/>
        <v>339.69600000000003</v>
      </c>
      <c r="T26" s="12" t="s">
        <v>8</v>
      </c>
      <c r="U26" s="59">
        <v>0.04</v>
      </c>
      <c r="V26" s="11">
        <f t="shared" ref="V26:Y26" si="111">0.04*12*V35</f>
        <v>250.608</v>
      </c>
      <c r="W26" s="11">
        <f t="shared" si="111"/>
        <v>233.47199999999998</v>
      </c>
      <c r="X26" s="11">
        <f t="shared" si="111"/>
        <v>249.50399999999996</v>
      </c>
      <c r="Y26" s="11">
        <f t="shared" si="111"/>
        <v>254.11199999999997</v>
      </c>
      <c r="Z26" s="12" t="s">
        <v>8</v>
      </c>
      <c r="AA26" s="23">
        <v>0.04</v>
      </c>
      <c r="AB26" s="11">
        <f t="shared" ref="AB26:AC26" si="112">0.04*12*AB35</f>
        <v>245.23199999999997</v>
      </c>
      <c r="AC26" s="11">
        <f t="shared" si="112"/>
        <v>239.47199999999998</v>
      </c>
      <c r="AD26" s="11">
        <f t="shared" ref="AD26:AG26" si="113">0.04*12*AD35</f>
        <v>249.26399999999998</v>
      </c>
      <c r="AE26" s="11">
        <f t="shared" si="113"/>
        <v>271.34399999999999</v>
      </c>
      <c r="AF26" s="11">
        <f t="shared" si="113"/>
        <v>257.13600000000002</v>
      </c>
      <c r="AG26" s="11">
        <f t="shared" si="113"/>
        <v>283.2</v>
      </c>
      <c r="AH26" s="11">
        <f t="shared" ref="AH26:AT26" si="114">0.04*12*AH35</f>
        <v>214.84800000000001</v>
      </c>
      <c r="AI26" s="11">
        <f t="shared" si="114"/>
        <v>214.94399999999999</v>
      </c>
      <c r="AJ26" s="11">
        <f t="shared" si="114"/>
        <v>243.696</v>
      </c>
      <c r="AK26" s="11">
        <f t="shared" si="114"/>
        <v>245.23199999999997</v>
      </c>
      <c r="AL26" s="11">
        <f t="shared" ref="AL26:AP26" si="115">0.04*12*AL35</f>
        <v>244.32</v>
      </c>
      <c r="AM26" s="11">
        <f t="shared" si="115"/>
        <v>241.72800000000001</v>
      </c>
      <c r="AN26" s="11">
        <f t="shared" si="115"/>
        <v>217.82399999999998</v>
      </c>
      <c r="AO26" s="11">
        <f t="shared" si="115"/>
        <v>341.56799999999998</v>
      </c>
      <c r="AP26" s="11">
        <f t="shared" si="115"/>
        <v>343.2</v>
      </c>
      <c r="AQ26" s="11">
        <f t="shared" si="114"/>
        <v>248.54399999999998</v>
      </c>
      <c r="AR26" s="11">
        <f t="shared" si="114"/>
        <v>247.87199999999999</v>
      </c>
      <c r="AS26" s="11">
        <f t="shared" si="114"/>
        <v>340.99199999999996</v>
      </c>
      <c r="AT26" s="11">
        <f t="shared" si="114"/>
        <v>245.51999999999998</v>
      </c>
      <c r="AU26" s="11">
        <f t="shared" ref="AU26:AV26" si="116">0.04*12*AU35</f>
        <v>241.2</v>
      </c>
      <c r="AV26" s="11">
        <f t="shared" si="116"/>
        <v>36.432000000000002</v>
      </c>
      <c r="AW26" s="12" t="s">
        <v>8</v>
      </c>
      <c r="AX26" s="23">
        <v>0.04</v>
      </c>
      <c r="AY26" s="11">
        <f>0.04*12*AY35</f>
        <v>334.08</v>
      </c>
      <c r="AZ26" s="11">
        <f>0.04*12*AZ35</f>
        <v>248.39999999999998</v>
      </c>
      <c r="BA26" s="23">
        <v>0.04</v>
      </c>
      <c r="BB26" s="11">
        <f t="shared" ref="BB26" si="117">0.04*12*BB35</f>
        <v>92.015999999999991</v>
      </c>
    </row>
    <row r="27" spans="1:54" s="1" customFormat="1" ht="85.5" customHeight="1" x14ac:dyDescent="0.2">
      <c r="A27" s="66" t="s">
        <v>46</v>
      </c>
      <c r="B27" s="66"/>
      <c r="C27" s="66"/>
      <c r="D27" s="66"/>
      <c r="E27" s="66"/>
      <c r="F27" s="66"/>
      <c r="G27" s="11" t="s">
        <v>7</v>
      </c>
      <c r="H27" s="11">
        <v>0.56000000000000005</v>
      </c>
      <c r="I27" s="11">
        <f>0.56*12*I35</f>
        <v>5054.112000000001</v>
      </c>
      <c r="J27" s="11">
        <f t="shared" ref="J27:K27" si="118">0.56*12*J35</f>
        <v>1786.1760000000002</v>
      </c>
      <c r="K27" s="11">
        <f t="shared" si="118"/>
        <v>3723.5520000000006</v>
      </c>
      <c r="L27" s="11" t="s">
        <v>7</v>
      </c>
      <c r="M27" s="23">
        <v>3.7</v>
      </c>
      <c r="N27" s="11">
        <f>3.7*12*N35</f>
        <v>31341.960000000003</v>
      </c>
      <c r="O27" s="11" t="s">
        <v>7</v>
      </c>
      <c r="P27" s="11">
        <v>2.17</v>
      </c>
      <c r="Q27" s="11">
        <f>2.17*12*Q35</f>
        <v>14152.74</v>
      </c>
      <c r="R27" s="11">
        <f t="shared" ref="R27:S27" si="119">2.17*12*R35</f>
        <v>10944.611999999999</v>
      </c>
      <c r="S27" s="11">
        <f t="shared" si="119"/>
        <v>18428.508000000002</v>
      </c>
      <c r="T27" s="11" t="s">
        <v>7</v>
      </c>
      <c r="U27" s="59">
        <v>0.5</v>
      </c>
      <c r="V27" s="11">
        <f>0.5*12*V35</f>
        <v>3132.6000000000004</v>
      </c>
      <c r="W27" s="11">
        <f t="shared" ref="W27:Y27" si="120">0.5*12*W35</f>
        <v>2918.3999999999996</v>
      </c>
      <c r="X27" s="11">
        <f t="shared" si="120"/>
        <v>3118.7999999999997</v>
      </c>
      <c r="Y27" s="11">
        <f t="shared" si="120"/>
        <v>3176.3999999999996</v>
      </c>
      <c r="Z27" s="11" t="s">
        <v>7</v>
      </c>
      <c r="AA27" s="23">
        <v>2.2799999999999998</v>
      </c>
      <c r="AB27" s="11">
        <f>2.28*12*AB35</f>
        <v>13978.223999999998</v>
      </c>
      <c r="AC27" s="11">
        <f t="shared" ref="AC27:AV27" si="121">2.28*12*AC35</f>
        <v>13649.903999999999</v>
      </c>
      <c r="AD27" s="11">
        <f t="shared" si="121"/>
        <v>14208.047999999999</v>
      </c>
      <c r="AE27" s="11">
        <f t="shared" si="121"/>
        <v>15466.607999999998</v>
      </c>
      <c r="AF27" s="11">
        <f t="shared" si="121"/>
        <v>14656.752</v>
      </c>
      <c r="AG27" s="11">
        <f t="shared" si="121"/>
        <v>16142.4</v>
      </c>
      <c r="AH27" s="11">
        <f t="shared" si="121"/>
        <v>12246.336000000001</v>
      </c>
      <c r="AI27" s="11">
        <f t="shared" si="121"/>
        <v>12251.808000000001</v>
      </c>
      <c r="AJ27" s="11">
        <f t="shared" si="121"/>
        <v>13890.671999999999</v>
      </c>
      <c r="AK27" s="11">
        <f t="shared" si="121"/>
        <v>13978.223999999998</v>
      </c>
      <c r="AL27" s="11">
        <f t="shared" si="121"/>
        <v>13926.24</v>
      </c>
      <c r="AM27" s="11">
        <f t="shared" si="121"/>
        <v>13778.496000000001</v>
      </c>
      <c r="AN27" s="11">
        <f t="shared" si="121"/>
        <v>12415.968000000001</v>
      </c>
      <c r="AO27" s="11">
        <f t="shared" si="121"/>
        <v>19469.376</v>
      </c>
      <c r="AP27" s="11">
        <f t="shared" si="121"/>
        <v>19562.399999999998</v>
      </c>
      <c r="AQ27" s="11">
        <f t="shared" si="121"/>
        <v>14167.007999999998</v>
      </c>
      <c r="AR27" s="11">
        <f t="shared" si="121"/>
        <v>14128.704</v>
      </c>
      <c r="AS27" s="11">
        <f t="shared" si="121"/>
        <v>19436.543999999998</v>
      </c>
      <c r="AT27" s="11">
        <f t="shared" si="121"/>
        <v>13994.64</v>
      </c>
      <c r="AU27" s="11">
        <f t="shared" si="121"/>
        <v>13748.4</v>
      </c>
      <c r="AV27" s="11">
        <f t="shared" si="121"/>
        <v>2076.6240000000003</v>
      </c>
      <c r="AW27" s="11" t="s">
        <v>7</v>
      </c>
      <c r="AX27" s="23">
        <v>0.61</v>
      </c>
      <c r="AY27" s="11">
        <f>0.61*12*AY35</f>
        <v>5094.72</v>
      </c>
      <c r="AZ27" s="11">
        <f>0.61*12*AZ35</f>
        <v>3788.1000000000004</v>
      </c>
      <c r="BA27" s="23">
        <f>0.55</f>
        <v>0.55000000000000004</v>
      </c>
      <c r="BB27" s="11">
        <f>0.55*12*BB35</f>
        <v>1265.22</v>
      </c>
    </row>
    <row r="28" spans="1:54" s="1" customFormat="1" x14ac:dyDescent="0.2">
      <c r="A28" s="68" t="s">
        <v>6</v>
      </c>
      <c r="B28" s="69"/>
      <c r="C28" s="69"/>
      <c r="D28" s="69"/>
      <c r="E28" s="69"/>
      <c r="F28" s="70"/>
      <c r="G28" s="10"/>
      <c r="H28" s="14">
        <f t="shared" ref="H28" si="122">SUM(H29:H33)</f>
        <v>9.5300000000000011</v>
      </c>
      <c r="I28" s="14">
        <f t="shared" ref="I28:K28" si="123">SUM(I29:I33)</f>
        <v>86046.256800000003</v>
      </c>
      <c r="J28" s="14">
        <f t="shared" ref="J28" si="124">SUM(J29:J33)</f>
        <v>30409.646400000001</v>
      </c>
      <c r="K28" s="14">
        <f t="shared" si="123"/>
        <v>63393.472800000003</v>
      </c>
      <c r="L28" s="10"/>
      <c r="M28" s="24">
        <f t="shared" ref="M28" si="125">SUM(M29:M33)</f>
        <v>5.6499999999999995</v>
      </c>
      <c r="N28" s="14">
        <f t="shared" ref="N28" si="126">SUM(N29:N33)</f>
        <v>47860.02</v>
      </c>
      <c r="O28" s="14"/>
      <c r="P28" s="14">
        <v>7.33</v>
      </c>
      <c r="Q28" s="14">
        <f t="shared" ref="Q28:S28" si="127">SUM(Q29:Q33)</f>
        <v>47832.347999999998</v>
      </c>
      <c r="R28" s="14">
        <f t="shared" si="127"/>
        <v>36989.762400000007</v>
      </c>
      <c r="S28" s="14">
        <f t="shared" si="127"/>
        <v>62283.261600000013</v>
      </c>
      <c r="T28" s="10"/>
      <c r="U28" s="60">
        <f>U29+U30+U31+U32+U33</f>
        <v>7.6000000000000005</v>
      </c>
      <c r="V28" s="14">
        <f t="shared" ref="V28:Y28" si="128">SUM(V29:V33)</f>
        <v>47615.520000000011</v>
      </c>
      <c r="W28" s="14">
        <f t="shared" si="128"/>
        <v>44359.68</v>
      </c>
      <c r="X28" s="14">
        <f t="shared" si="128"/>
        <v>47405.760000000002</v>
      </c>
      <c r="Y28" s="14">
        <f t="shared" si="128"/>
        <v>48281.280000000006</v>
      </c>
      <c r="Z28" s="10"/>
      <c r="AA28" s="24">
        <f t="shared" ref="AA28" si="129">SUM(AA29:AA33)</f>
        <v>5.44</v>
      </c>
      <c r="AB28" s="14">
        <f t="shared" ref="AB28" si="130">SUM(AB29:AB33)</f>
        <v>33351.551999999996</v>
      </c>
      <c r="AC28" s="14">
        <f t="shared" ref="AC28:AD28" si="131">SUM(AC29:AC33)</f>
        <v>32568.191999999999</v>
      </c>
      <c r="AD28" s="14">
        <f t="shared" si="131"/>
        <v>33899.903999999995</v>
      </c>
      <c r="AE28" s="14">
        <f t="shared" ref="AE28:AH28" si="132">SUM(AE29:AE33)</f>
        <v>36902.783999999992</v>
      </c>
      <c r="AF28" s="14">
        <f t="shared" si="132"/>
        <v>34970.495999999999</v>
      </c>
      <c r="AG28" s="14">
        <f t="shared" si="132"/>
        <v>38515.200000000004</v>
      </c>
      <c r="AH28" s="14">
        <f t="shared" si="132"/>
        <v>29219.328000000005</v>
      </c>
      <c r="AI28" s="14">
        <f t="shared" ref="AI28:AU28" si="133">SUM(AI29:AI33)</f>
        <v>29232.384000000005</v>
      </c>
      <c r="AJ28" s="14">
        <f t="shared" si="133"/>
        <v>33142.655999999995</v>
      </c>
      <c r="AK28" s="14">
        <f t="shared" si="133"/>
        <v>33351.551999999996</v>
      </c>
      <c r="AL28" s="14">
        <f t="shared" ref="AL28:AP28" si="134">SUM(AL29:AL33)</f>
        <v>33227.519999999997</v>
      </c>
      <c r="AM28" s="14">
        <f t="shared" si="134"/>
        <v>32875.008000000002</v>
      </c>
      <c r="AN28" s="14">
        <f t="shared" si="134"/>
        <v>29624.064000000002</v>
      </c>
      <c r="AO28" s="14">
        <f t="shared" si="134"/>
        <v>46453.247999999992</v>
      </c>
      <c r="AP28" s="14">
        <f t="shared" si="134"/>
        <v>46675.200000000004</v>
      </c>
      <c r="AQ28" s="14">
        <f t="shared" si="133"/>
        <v>33801.983999999997</v>
      </c>
      <c r="AR28" s="14">
        <f t="shared" si="133"/>
        <v>33710.591999999997</v>
      </c>
      <c r="AS28" s="14">
        <f t="shared" si="133"/>
        <v>46374.911999999997</v>
      </c>
      <c r="AT28" s="14">
        <f t="shared" si="133"/>
        <v>33390.720000000001</v>
      </c>
      <c r="AU28" s="14">
        <f t="shared" si="133"/>
        <v>32803.200000000004</v>
      </c>
      <c r="AV28" s="14">
        <f t="shared" ref="AV28" si="135">SUM(AV29:AV33)</f>
        <v>4954.7520000000004</v>
      </c>
      <c r="AW28" s="10"/>
      <c r="AX28" s="24">
        <f>SUM(AX29:AX33)</f>
        <v>3.32</v>
      </c>
      <c r="AY28" s="14">
        <f>SUM(AY29:AY33)</f>
        <v>27728.639999999999</v>
      </c>
      <c r="AZ28" s="14">
        <f>SUM(AZ29:AZ33)</f>
        <v>20617.2</v>
      </c>
      <c r="BA28" s="24">
        <f>SUM(BA29:BA33)</f>
        <v>3.9100000000000006</v>
      </c>
      <c r="BB28" s="14">
        <f>SUM(BB29:BB33)</f>
        <v>8994.5640000000003</v>
      </c>
    </row>
    <row r="29" spans="1:54" s="1" customFormat="1" ht="195" customHeight="1" x14ac:dyDescent="0.2">
      <c r="A29" s="66" t="s">
        <v>38</v>
      </c>
      <c r="B29" s="66"/>
      <c r="C29" s="66"/>
      <c r="D29" s="66"/>
      <c r="E29" s="66"/>
      <c r="F29" s="66"/>
      <c r="G29" s="12" t="s">
        <v>43</v>
      </c>
      <c r="H29" s="11">
        <v>5.98</v>
      </c>
      <c r="I29" s="11">
        <f>5.984*12*I35</f>
        <v>54006.796799999996</v>
      </c>
      <c r="J29" s="11">
        <f t="shared" ref="J29:K29" si="136">5.984*12*J35</f>
        <v>19086.5664</v>
      </c>
      <c r="K29" s="11">
        <f t="shared" si="136"/>
        <v>39788.8128</v>
      </c>
      <c r="L29" s="12" t="s">
        <v>43</v>
      </c>
      <c r="M29" s="23">
        <v>1.96</v>
      </c>
      <c r="N29" s="11">
        <f>1.96*12*N35</f>
        <v>16602.768</v>
      </c>
      <c r="O29" s="12" t="s">
        <v>43</v>
      </c>
      <c r="P29" s="11">
        <v>1.57</v>
      </c>
      <c r="Q29" s="11">
        <f>1.574*12*Q35</f>
        <v>10265.628000000001</v>
      </c>
      <c r="R29" s="11">
        <f t="shared" ref="R29:S29" si="137">1.574*12*R35</f>
        <v>7938.626400000001</v>
      </c>
      <c r="S29" s="11">
        <f t="shared" si="137"/>
        <v>13367.037600000001</v>
      </c>
      <c r="T29" s="12" t="s">
        <v>43</v>
      </c>
      <c r="U29" s="59">
        <v>4.91</v>
      </c>
      <c r="V29" s="11">
        <f>4.91*12*V35</f>
        <v>30762.132000000001</v>
      </c>
      <c r="W29" s="11">
        <f t="shared" ref="W29:Y29" si="138">4.91*12*W35</f>
        <v>28658.687999999998</v>
      </c>
      <c r="X29" s="11">
        <f t="shared" si="138"/>
        <v>30626.615999999998</v>
      </c>
      <c r="Y29" s="11">
        <f t="shared" si="138"/>
        <v>31192.248</v>
      </c>
      <c r="Z29" s="12" t="s">
        <v>43</v>
      </c>
      <c r="AA29" s="23">
        <v>1.46</v>
      </c>
      <c r="AB29" s="11">
        <f>1.46*12*AB35</f>
        <v>8950.9679999999989</v>
      </c>
      <c r="AC29" s="11">
        <f t="shared" ref="AC29:AV29" si="139">1.46*12*AC35</f>
        <v>8740.7279999999992</v>
      </c>
      <c r="AD29" s="11">
        <f t="shared" si="139"/>
        <v>9098.1359999999986</v>
      </c>
      <c r="AE29" s="11">
        <f t="shared" si="139"/>
        <v>9904.0559999999987</v>
      </c>
      <c r="AF29" s="11">
        <f t="shared" si="139"/>
        <v>9385.4639999999999</v>
      </c>
      <c r="AG29" s="11">
        <f t="shared" si="139"/>
        <v>10336.799999999999</v>
      </c>
      <c r="AH29" s="11">
        <f t="shared" si="139"/>
        <v>7841.9520000000002</v>
      </c>
      <c r="AI29" s="11">
        <f t="shared" si="139"/>
        <v>7845.4560000000001</v>
      </c>
      <c r="AJ29" s="11">
        <f t="shared" si="139"/>
        <v>8894.9040000000005</v>
      </c>
      <c r="AK29" s="11">
        <f t="shared" si="139"/>
        <v>8950.9679999999989</v>
      </c>
      <c r="AL29" s="11">
        <f t="shared" si="139"/>
        <v>8917.68</v>
      </c>
      <c r="AM29" s="11">
        <f t="shared" si="139"/>
        <v>8823.0720000000001</v>
      </c>
      <c r="AN29" s="11">
        <f t="shared" si="139"/>
        <v>7950.576</v>
      </c>
      <c r="AO29" s="11">
        <f t="shared" si="139"/>
        <v>12467.232</v>
      </c>
      <c r="AP29" s="11">
        <f t="shared" si="139"/>
        <v>12526.8</v>
      </c>
      <c r="AQ29" s="11">
        <f t="shared" si="139"/>
        <v>9071.8559999999998</v>
      </c>
      <c r="AR29" s="11">
        <f t="shared" si="139"/>
        <v>9047.3279999999995</v>
      </c>
      <c r="AS29" s="11">
        <f t="shared" si="139"/>
        <v>12446.207999999999</v>
      </c>
      <c r="AT29" s="11">
        <f t="shared" si="139"/>
        <v>8961.48</v>
      </c>
      <c r="AU29" s="11">
        <f t="shared" si="139"/>
        <v>8803.7999999999993</v>
      </c>
      <c r="AV29" s="11">
        <f t="shared" si="139"/>
        <v>1329.768</v>
      </c>
      <c r="AW29" s="12" t="s">
        <v>43</v>
      </c>
      <c r="AX29" s="23">
        <v>0.74</v>
      </c>
      <c r="AY29" s="11">
        <f>0.74*12*AY35</f>
        <v>6180.48</v>
      </c>
      <c r="AZ29" s="11">
        <f>0.74*12*AZ35</f>
        <v>4595.3999999999996</v>
      </c>
      <c r="BA29" s="23">
        <f>0.44+0.25+0.18+0.06+0.04+0.06+0.05+0.05</f>
        <v>1.1300000000000001</v>
      </c>
      <c r="BB29" s="11">
        <f>1.13*12*BB35</f>
        <v>2599.4519999999998</v>
      </c>
    </row>
    <row r="30" spans="1:54" s="1" customFormat="1" ht="84.75" customHeight="1" x14ac:dyDescent="0.2">
      <c r="A30" s="62" t="s">
        <v>5</v>
      </c>
      <c r="B30" s="62"/>
      <c r="C30" s="62"/>
      <c r="D30" s="62"/>
      <c r="E30" s="62"/>
      <c r="F30" s="62"/>
      <c r="G30" s="12" t="s">
        <v>4</v>
      </c>
      <c r="H30" s="11">
        <v>1.34</v>
      </c>
      <c r="I30" s="11">
        <f>1.34*12*I35</f>
        <v>12093.768000000002</v>
      </c>
      <c r="J30" s="11">
        <f t="shared" ref="J30:K30" si="140">1.34*12*J35</f>
        <v>4274.0640000000003</v>
      </c>
      <c r="K30" s="11">
        <f t="shared" si="140"/>
        <v>8909.9280000000017</v>
      </c>
      <c r="L30" s="12" t="s">
        <v>4</v>
      </c>
      <c r="M30" s="23">
        <v>1.39</v>
      </c>
      <c r="N30" s="11">
        <f t="shared" ref="N30" si="141">1.39*12*N35</f>
        <v>11774.412</v>
      </c>
      <c r="O30" s="13" t="s">
        <v>4</v>
      </c>
      <c r="P30" s="11">
        <v>1.85</v>
      </c>
      <c r="Q30" s="11">
        <f>1.85*12*Q35</f>
        <v>12065.7</v>
      </c>
      <c r="R30" s="11">
        <f t="shared" ref="R30:S30" si="142">1.85*12*R35</f>
        <v>9330.6600000000017</v>
      </c>
      <c r="S30" s="11">
        <f t="shared" si="142"/>
        <v>15710.940000000002</v>
      </c>
      <c r="T30" s="12" t="s">
        <v>4</v>
      </c>
      <c r="U30" s="59">
        <v>1.2</v>
      </c>
      <c r="V30" s="11">
        <f>1.2*12*V35</f>
        <v>7518.24</v>
      </c>
      <c r="W30" s="11">
        <f t="shared" ref="W30:Y30" si="143">1.2*12*W35</f>
        <v>7004.1599999999989</v>
      </c>
      <c r="X30" s="11">
        <f t="shared" si="143"/>
        <v>7485.119999999999</v>
      </c>
      <c r="Y30" s="11">
        <f t="shared" si="143"/>
        <v>7623.3599999999988</v>
      </c>
      <c r="Z30" s="12" t="s">
        <v>4</v>
      </c>
      <c r="AA30" s="23">
        <v>1.85</v>
      </c>
      <c r="AB30" s="11">
        <f>1.85*12*AB35</f>
        <v>11341.980000000001</v>
      </c>
      <c r="AC30" s="11">
        <f t="shared" ref="AC30:AV30" si="144">1.85*12*AC35</f>
        <v>11075.580000000002</v>
      </c>
      <c r="AD30" s="11">
        <f t="shared" si="144"/>
        <v>11528.460000000001</v>
      </c>
      <c r="AE30" s="11">
        <f t="shared" si="144"/>
        <v>12549.66</v>
      </c>
      <c r="AF30" s="11">
        <f t="shared" si="144"/>
        <v>11892.540000000003</v>
      </c>
      <c r="AG30" s="11">
        <f t="shared" si="144"/>
        <v>13098.000000000002</v>
      </c>
      <c r="AH30" s="11">
        <f t="shared" si="144"/>
        <v>9936.7200000000012</v>
      </c>
      <c r="AI30" s="11">
        <f t="shared" si="144"/>
        <v>9941.1600000000017</v>
      </c>
      <c r="AJ30" s="11">
        <f t="shared" si="144"/>
        <v>11270.94</v>
      </c>
      <c r="AK30" s="11">
        <f t="shared" si="144"/>
        <v>11341.980000000001</v>
      </c>
      <c r="AL30" s="11">
        <f t="shared" si="144"/>
        <v>11299.800000000001</v>
      </c>
      <c r="AM30" s="11">
        <f t="shared" si="144"/>
        <v>11179.920000000002</v>
      </c>
      <c r="AN30" s="11">
        <f t="shared" si="144"/>
        <v>10074.360000000002</v>
      </c>
      <c r="AO30" s="11">
        <f t="shared" si="144"/>
        <v>15797.520000000002</v>
      </c>
      <c r="AP30" s="11">
        <f t="shared" si="144"/>
        <v>15873.000000000002</v>
      </c>
      <c r="AQ30" s="11">
        <f t="shared" si="144"/>
        <v>11495.16</v>
      </c>
      <c r="AR30" s="11">
        <f t="shared" si="144"/>
        <v>11464.080000000002</v>
      </c>
      <c r="AS30" s="11">
        <f t="shared" si="144"/>
        <v>15770.880000000001</v>
      </c>
      <c r="AT30" s="11">
        <f t="shared" si="144"/>
        <v>11355.300000000001</v>
      </c>
      <c r="AU30" s="11">
        <f t="shared" si="144"/>
        <v>11155.500000000002</v>
      </c>
      <c r="AV30" s="11">
        <f t="shared" si="144"/>
        <v>1684.9800000000002</v>
      </c>
      <c r="AW30" s="12" t="s">
        <v>4</v>
      </c>
      <c r="AX30" s="23">
        <v>1.85</v>
      </c>
      <c r="AY30" s="11">
        <f>1.85*12*AY35</f>
        <v>15451.200000000003</v>
      </c>
      <c r="AZ30" s="11">
        <f>1.85*12*AZ35</f>
        <v>11488.500000000002</v>
      </c>
      <c r="BA30" s="23">
        <v>1.85</v>
      </c>
      <c r="BB30" s="11">
        <f>1.85*12*BB35</f>
        <v>4255.7400000000007</v>
      </c>
    </row>
    <row r="31" spans="1:54" s="1" customFormat="1" ht="22.5" customHeight="1" x14ac:dyDescent="0.2">
      <c r="A31" s="62" t="s">
        <v>36</v>
      </c>
      <c r="B31" s="62"/>
      <c r="C31" s="62"/>
      <c r="D31" s="62"/>
      <c r="E31" s="62"/>
      <c r="F31" s="62"/>
      <c r="G31" s="13" t="s">
        <v>44</v>
      </c>
      <c r="H31" s="11">
        <v>1.48</v>
      </c>
      <c r="I31" s="11">
        <f>1.48*12*I35</f>
        <v>13357.295999999998</v>
      </c>
      <c r="J31" s="11">
        <f t="shared" ref="J31:K31" si="145">1.48*12*J35</f>
        <v>4720.6079999999993</v>
      </c>
      <c r="K31" s="11">
        <f t="shared" si="145"/>
        <v>9840.8159999999989</v>
      </c>
      <c r="L31" s="13" t="s">
        <v>44</v>
      </c>
      <c r="M31" s="23">
        <f>0.76+0.3+0.22+0.12+0.17</f>
        <v>1.5699999999999998</v>
      </c>
      <c r="N31" s="11">
        <f t="shared" ref="N31" si="146">1.57*12*N35</f>
        <v>13299.155999999999</v>
      </c>
      <c r="O31" s="13" t="s">
        <v>44</v>
      </c>
      <c r="P31" s="11">
        <v>2.12</v>
      </c>
      <c r="Q31" s="11">
        <f>2.12*12*Q35</f>
        <v>13826.640000000001</v>
      </c>
      <c r="R31" s="11">
        <f t="shared" ref="R31:S31" si="147">2.12*12*R35</f>
        <v>10692.432000000001</v>
      </c>
      <c r="S31" s="11">
        <f t="shared" si="147"/>
        <v>18003.888000000003</v>
      </c>
      <c r="T31" s="13" t="s">
        <v>44</v>
      </c>
      <c r="U31" s="59">
        <v>0.76</v>
      </c>
      <c r="V31" s="11">
        <f>0.76*12*V35</f>
        <v>4761.5520000000006</v>
      </c>
      <c r="W31" s="11">
        <f t="shared" ref="W31:Y31" si="148">0.76*12*W35</f>
        <v>4435.9679999999998</v>
      </c>
      <c r="X31" s="11">
        <f t="shared" si="148"/>
        <v>4740.576</v>
      </c>
      <c r="Y31" s="11">
        <f t="shared" si="148"/>
        <v>4828.1280000000006</v>
      </c>
      <c r="Z31" s="13" t="s">
        <v>44</v>
      </c>
      <c r="AA31" s="23">
        <v>1.4</v>
      </c>
      <c r="AB31" s="11">
        <f>1.4*12*AB35</f>
        <v>8583.119999999999</v>
      </c>
      <c r="AC31" s="11">
        <f t="shared" ref="AC31:AV31" si="149">1.4*12*AC35</f>
        <v>8381.5199999999986</v>
      </c>
      <c r="AD31" s="11">
        <f t="shared" si="149"/>
        <v>8724.239999999998</v>
      </c>
      <c r="AE31" s="11">
        <f t="shared" si="149"/>
        <v>9497.0399999999972</v>
      </c>
      <c r="AF31" s="11">
        <f t="shared" si="149"/>
        <v>8999.7599999999984</v>
      </c>
      <c r="AG31" s="11">
        <f t="shared" si="149"/>
        <v>9911.9999999999982</v>
      </c>
      <c r="AH31" s="11">
        <f t="shared" si="149"/>
        <v>7519.6799999999994</v>
      </c>
      <c r="AI31" s="11">
        <f t="shared" si="149"/>
        <v>7523.0399999999991</v>
      </c>
      <c r="AJ31" s="11">
        <f t="shared" si="149"/>
        <v>8529.3599999999988</v>
      </c>
      <c r="AK31" s="11">
        <f t="shared" si="149"/>
        <v>8583.119999999999</v>
      </c>
      <c r="AL31" s="11">
        <f t="shared" si="149"/>
        <v>8551.1999999999989</v>
      </c>
      <c r="AM31" s="11">
        <f t="shared" si="149"/>
        <v>8460.48</v>
      </c>
      <c r="AN31" s="11">
        <f t="shared" si="149"/>
        <v>7623.8399999999992</v>
      </c>
      <c r="AO31" s="11">
        <f t="shared" si="149"/>
        <v>11954.88</v>
      </c>
      <c r="AP31" s="11">
        <f t="shared" si="149"/>
        <v>12011.999999999998</v>
      </c>
      <c r="AQ31" s="11">
        <f t="shared" si="149"/>
        <v>8699.0399999999972</v>
      </c>
      <c r="AR31" s="11">
        <f t="shared" si="149"/>
        <v>8675.5199999999986</v>
      </c>
      <c r="AS31" s="11">
        <f t="shared" si="149"/>
        <v>11934.719999999998</v>
      </c>
      <c r="AT31" s="11">
        <f t="shared" si="149"/>
        <v>8593.1999999999989</v>
      </c>
      <c r="AU31" s="11">
        <f t="shared" si="149"/>
        <v>8441.9999999999982</v>
      </c>
      <c r="AV31" s="11">
        <f t="shared" si="149"/>
        <v>1275.1199999999999</v>
      </c>
      <c r="AW31" s="13" t="s">
        <v>44</v>
      </c>
      <c r="AX31" s="23">
        <v>0</v>
      </c>
      <c r="AY31" s="11">
        <f t="shared" ref="AY31:AZ31" si="150">0*12*AY35</f>
        <v>0</v>
      </c>
      <c r="AZ31" s="11">
        <f t="shared" si="150"/>
        <v>0</v>
      </c>
      <c r="BA31" s="23">
        <v>0</v>
      </c>
      <c r="BB31" s="11">
        <f t="shared" ref="BB31" si="151">0*12*BB35</f>
        <v>0</v>
      </c>
    </row>
    <row r="32" spans="1:54" s="1" customFormat="1" x14ac:dyDescent="0.2">
      <c r="A32" s="62" t="s">
        <v>49</v>
      </c>
      <c r="B32" s="62"/>
      <c r="C32" s="62"/>
      <c r="D32" s="62"/>
      <c r="E32" s="62"/>
      <c r="F32" s="62"/>
      <c r="G32" s="11" t="s">
        <v>3</v>
      </c>
      <c r="H32" s="11">
        <v>0.52</v>
      </c>
      <c r="I32" s="11">
        <f>0.52*12*I35</f>
        <v>4693.1040000000003</v>
      </c>
      <c r="J32" s="11">
        <f t="shared" ref="J32:K32" si="152">0.52*12*J35</f>
        <v>1658.5920000000001</v>
      </c>
      <c r="K32" s="11">
        <f t="shared" si="152"/>
        <v>3457.5840000000003</v>
      </c>
      <c r="L32" s="11" t="s">
        <v>3</v>
      </c>
      <c r="M32" s="23">
        <v>0.52</v>
      </c>
      <c r="N32" s="11">
        <f>0.52*12*N35</f>
        <v>4404.8159999999998</v>
      </c>
      <c r="O32" s="11" t="s">
        <v>3</v>
      </c>
      <c r="P32" s="11">
        <v>1.36</v>
      </c>
      <c r="Q32" s="11">
        <f>1.36*12*Q35</f>
        <v>8869.92</v>
      </c>
      <c r="R32" s="11">
        <f t="shared" ref="R32:S32" si="153">1.36*12*R35</f>
        <v>6859.2960000000003</v>
      </c>
      <c r="S32" s="11">
        <f t="shared" si="153"/>
        <v>11549.664000000001</v>
      </c>
      <c r="T32" s="11" t="s">
        <v>3</v>
      </c>
      <c r="U32" s="59">
        <v>0.52</v>
      </c>
      <c r="V32" s="11">
        <f>0.52*12*V35</f>
        <v>3257.9040000000005</v>
      </c>
      <c r="W32" s="11">
        <f t="shared" ref="W32:Y32" si="154">0.52*12*W35</f>
        <v>3035.136</v>
      </c>
      <c r="X32" s="11">
        <f t="shared" si="154"/>
        <v>3243.5519999999997</v>
      </c>
      <c r="Y32" s="11">
        <f t="shared" si="154"/>
        <v>3303.4560000000001</v>
      </c>
      <c r="Z32" s="11" t="s">
        <v>3</v>
      </c>
      <c r="AA32" s="23">
        <v>0.52</v>
      </c>
      <c r="AB32" s="11">
        <f>0.52*12*AB35</f>
        <v>3188.0160000000001</v>
      </c>
      <c r="AC32" s="11">
        <f t="shared" ref="AC32:AV32" si="155">0.52*12*AC35</f>
        <v>3113.136</v>
      </c>
      <c r="AD32" s="11">
        <f t="shared" si="155"/>
        <v>3240.4319999999998</v>
      </c>
      <c r="AE32" s="11">
        <f t="shared" si="155"/>
        <v>3527.4719999999998</v>
      </c>
      <c r="AF32" s="11">
        <f t="shared" si="155"/>
        <v>3342.7680000000005</v>
      </c>
      <c r="AG32" s="11">
        <f t="shared" si="155"/>
        <v>3681.6</v>
      </c>
      <c r="AH32" s="11">
        <f t="shared" si="155"/>
        <v>2793.0240000000003</v>
      </c>
      <c r="AI32" s="11">
        <f t="shared" si="155"/>
        <v>2794.2720000000004</v>
      </c>
      <c r="AJ32" s="11">
        <f t="shared" si="155"/>
        <v>3168.0480000000002</v>
      </c>
      <c r="AK32" s="11">
        <f t="shared" si="155"/>
        <v>3188.0160000000001</v>
      </c>
      <c r="AL32" s="11">
        <f t="shared" si="155"/>
        <v>3176.1600000000003</v>
      </c>
      <c r="AM32" s="11">
        <f t="shared" si="155"/>
        <v>3142.4640000000004</v>
      </c>
      <c r="AN32" s="11">
        <f t="shared" si="155"/>
        <v>2831.712</v>
      </c>
      <c r="AO32" s="11">
        <f t="shared" si="155"/>
        <v>4440.384</v>
      </c>
      <c r="AP32" s="11">
        <f t="shared" si="155"/>
        <v>4461.6000000000004</v>
      </c>
      <c r="AQ32" s="11">
        <f t="shared" si="155"/>
        <v>3231.0719999999997</v>
      </c>
      <c r="AR32" s="11">
        <f t="shared" si="155"/>
        <v>3222.3359999999998</v>
      </c>
      <c r="AS32" s="11">
        <f t="shared" si="155"/>
        <v>4432.8959999999997</v>
      </c>
      <c r="AT32" s="11">
        <f t="shared" si="155"/>
        <v>3191.76</v>
      </c>
      <c r="AU32" s="11">
        <f t="shared" si="155"/>
        <v>3135.6</v>
      </c>
      <c r="AV32" s="11">
        <f t="shared" si="155"/>
        <v>473.61600000000004</v>
      </c>
      <c r="AW32" s="11" t="s">
        <v>3</v>
      </c>
      <c r="AX32" s="23">
        <v>0.52</v>
      </c>
      <c r="AY32" s="11">
        <f>0.52*12*AY35</f>
        <v>4343.04</v>
      </c>
      <c r="AZ32" s="11">
        <f>0.52*12*AZ35</f>
        <v>3229.2000000000003</v>
      </c>
      <c r="BA32" s="23">
        <v>0.68</v>
      </c>
      <c r="BB32" s="11">
        <f>0.68*12*BB35</f>
        <v>1564.2719999999999</v>
      </c>
    </row>
    <row r="33" spans="1:56" s="1" customFormat="1" x14ac:dyDescent="0.2">
      <c r="A33" s="62" t="s">
        <v>50</v>
      </c>
      <c r="B33" s="62"/>
      <c r="C33" s="62"/>
      <c r="D33" s="62"/>
      <c r="E33" s="62"/>
      <c r="F33" s="62"/>
      <c r="G33" s="11" t="s">
        <v>7</v>
      </c>
      <c r="H33" s="11">
        <v>0.21</v>
      </c>
      <c r="I33" s="11">
        <f>0.21*12*I35</f>
        <v>1895.2920000000001</v>
      </c>
      <c r="J33" s="11">
        <f t="shared" ref="J33:K33" si="156">0.21*12*J35</f>
        <v>669.81600000000003</v>
      </c>
      <c r="K33" s="11">
        <f t="shared" si="156"/>
        <v>1396.3320000000001</v>
      </c>
      <c r="L33" s="11" t="s">
        <v>7</v>
      </c>
      <c r="M33" s="23">
        <v>0.21</v>
      </c>
      <c r="N33" s="11">
        <f>0.21*12*N35</f>
        <v>1778.8679999999999</v>
      </c>
      <c r="O33" s="11" t="s">
        <v>7</v>
      </c>
      <c r="P33" s="11">
        <v>0.43</v>
      </c>
      <c r="Q33" s="11">
        <f>0.43*12*Q35</f>
        <v>2804.46</v>
      </c>
      <c r="R33" s="11">
        <f t="shared" ref="R33:S33" si="157">0.43*12*R35</f>
        <v>2168.748</v>
      </c>
      <c r="S33" s="11">
        <f t="shared" si="157"/>
        <v>3651.7320000000004</v>
      </c>
      <c r="T33" s="11" t="s">
        <v>7</v>
      </c>
      <c r="U33" s="59">
        <v>0.21</v>
      </c>
      <c r="V33" s="11">
        <f>0.21*12*V35</f>
        <v>1315.692</v>
      </c>
      <c r="W33" s="11">
        <f t="shared" ref="W33:Y33" si="158">0.21*12*W35</f>
        <v>1225.7279999999998</v>
      </c>
      <c r="X33" s="11">
        <f t="shared" si="158"/>
        <v>1309.896</v>
      </c>
      <c r="Y33" s="11">
        <f t="shared" si="158"/>
        <v>1334.088</v>
      </c>
      <c r="Z33" s="11" t="s">
        <v>7</v>
      </c>
      <c r="AA33" s="23">
        <v>0.21</v>
      </c>
      <c r="AB33" s="11">
        <f>0.21*12*AB35</f>
        <v>1287.4679999999998</v>
      </c>
      <c r="AC33" s="11">
        <f t="shared" ref="AC33:AV33" si="159">0.21*12*AC35</f>
        <v>1257.2279999999998</v>
      </c>
      <c r="AD33" s="11">
        <f t="shared" si="159"/>
        <v>1308.636</v>
      </c>
      <c r="AE33" s="11">
        <f t="shared" si="159"/>
        <v>1424.5559999999998</v>
      </c>
      <c r="AF33" s="11">
        <f t="shared" si="159"/>
        <v>1349.9640000000002</v>
      </c>
      <c r="AG33" s="11">
        <f t="shared" si="159"/>
        <v>1486.8</v>
      </c>
      <c r="AH33" s="11">
        <f t="shared" si="159"/>
        <v>1127.952</v>
      </c>
      <c r="AI33" s="11">
        <f t="shared" si="159"/>
        <v>1128.4560000000001</v>
      </c>
      <c r="AJ33" s="11">
        <f t="shared" si="159"/>
        <v>1279.404</v>
      </c>
      <c r="AK33" s="11">
        <f t="shared" si="159"/>
        <v>1287.4679999999998</v>
      </c>
      <c r="AL33" s="11">
        <f t="shared" si="159"/>
        <v>1282.68</v>
      </c>
      <c r="AM33" s="11">
        <f t="shared" si="159"/>
        <v>1269.0720000000001</v>
      </c>
      <c r="AN33" s="11">
        <f t="shared" si="159"/>
        <v>1143.576</v>
      </c>
      <c r="AO33" s="11">
        <f t="shared" si="159"/>
        <v>1793.232</v>
      </c>
      <c r="AP33" s="11">
        <f t="shared" si="159"/>
        <v>1801.8</v>
      </c>
      <c r="AQ33" s="11">
        <f t="shared" si="159"/>
        <v>1304.856</v>
      </c>
      <c r="AR33" s="11">
        <f t="shared" si="159"/>
        <v>1301.328</v>
      </c>
      <c r="AS33" s="11">
        <f t="shared" si="159"/>
        <v>1790.2079999999999</v>
      </c>
      <c r="AT33" s="11">
        <f t="shared" si="159"/>
        <v>1288.98</v>
      </c>
      <c r="AU33" s="11">
        <f t="shared" si="159"/>
        <v>1266.3</v>
      </c>
      <c r="AV33" s="11">
        <f t="shared" si="159"/>
        <v>191.26800000000003</v>
      </c>
      <c r="AW33" s="11" t="s">
        <v>7</v>
      </c>
      <c r="AX33" s="23">
        <v>0.21</v>
      </c>
      <c r="AY33" s="11">
        <f>0.21*12*AY35</f>
        <v>1753.92</v>
      </c>
      <c r="AZ33" s="11">
        <f>0.21*12*AZ35</f>
        <v>1304.0999999999999</v>
      </c>
      <c r="BA33" s="23">
        <v>0.25</v>
      </c>
      <c r="BB33" s="11">
        <f>0.25*12*BB35</f>
        <v>575.09999999999991</v>
      </c>
    </row>
    <row r="34" spans="1:56" s="1" customFormat="1" x14ac:dyDescent="0.2">
      <c r="A34" s="72" t="s">
        <v>1</v>
      </c>
      <c r="B34" s="73"/>
      <c r="C34" s="73"/>
      <c r="D34" s="73"/>
      <c r="E34" s="73"/>
      <c r="F34" s="74"/>
      <c r="G34" s="17"/>
      <c r="H34" s="17"/>
      <c r="I34" s="18">
        <f t="shared" ref="I34:K34" si="160">I14+I22+I28</f>
        <v>168717.0888</v>
      </c>
      <c r="J34" s="18">
        <f t="shared" ref="J34" si="161">J14+J22+J28</f>
        <v>59626.382400000002</v>
      </c>
      <c r="K34" s="18">
        <f t="shared" si="160"/>
        <v>124300.14480000001</v>
      </c>
      <c r="L34" s="17"/>
      <c r="M34" s="26"/>
      <c r="N34" s="18">
        <f t="shared" ref="N34" si="162">N14+N22+N28</f>
        <v>153067.35599999997</v>
      </c>
      <c r="O34" s="18"/>
      <c r="P34" s="18"/>
      <c r="Q34" s="18">
        <f t="shared" ref="Q34:U34" si="163">Q14+Q22+Q28</f>
        <v>141488.26799999998</v>
      </c>
      <c r="R34" s="18">
        <f t="shared" si="163"/>
        <v>109415.8584</v>
      </c>
      <c r="S34" s="18">
        <f t="shared" si="163"/>
        <v>184234.12560000003</v>
      </c>
      <c r="T34" s="17"/>
      <c r="U34" s="18">
        <f t="shared" si="163"/>
        <v>21.35</v>
      </c>
      <c r="V34" s="18">
        <f t="shared" ref="V34:Y34" si="164">V14+V22+V28</f>
        <v>133762.02000000002</v>
      </c>
      <c r="W34" s="18">
        <f t="shared" si="164"/>
        <v>124615.67999999999</v>
      </c>
      <c r="X34" s="18">
        <f t="shared" si="164"/>
        <v>133172.75999999998</v>
      </c>
      <c r="Y34" s="18">
        <f t="shared" si="164"/>
        <v>135632.28</v>
      </c>
      <c r="Z34" s="17"/>
      <c r="AA34" s="46"/>
      <c r="AB34" s="18">
        <f t="shared" ref="AB34:AC34" si="165">AB14+AB22+AB28</f>
        <v>129421.18799999999</v>
      </c>
      <c r="AC34" s="18">
        <f t="shared" si="165"/>
        <v>126381.348</v>
      </c>
      <c r="AD34" s="18">
        <f t="shared" ref="AD34:AG34" si="166">AD14+AD22+AD28</f>
        <v>131549.076</v>
      </c>
      <c r="AE34" s="18">
        <f t="shared" si="166"/>
        <v>143201.796</v>
      </c>
      <c r="AF34" s="18">
        <f t="shared" si="166"/>
        <v>135703.52400000003</v>
      </c>
      <c r="AG34" s="18">
        <f t="shared" si="166"/>
        <v>149458.80000000002</v>
      </c>
      <c r="AH34" s="18">
        <f t="shared" ref="AH34:AT34" si="167">AH14+AH22+AH28</f>
        <v>113386.03200000001</v>
      </c>
      <c r="AI34" s="18">
        <f t="shared" si="167"/>
        <v>113436.69600000001</v>
      </c>
      <c r="AJ34" s="18">
        <f t="shared" si="167"/>
        <v>128610.56399999998</v>
      </c>
      <c r="AK34" s="18">
        <f t="shared" si="167"/>
        <v>129421.18799999999</v>
      </c>
      <c r="AL34" s="18">
        <f t="shared" ref="AL34:AP34" si="168">AL14+AL22+AL28</f>
        <v>128939.88</v>
      </c>
      <c r="AM34" s="18">
        <f t="shared" si="168"/>
        <v>127571.95200000002</v>
      </c>
      <c r="AN34" s="18">
        <f t="shared" si="168"/>
        <v>114956.61599999999</v>
      </c>
      <c r="AO34" s="18">
        <f t="shared" si="168"/>
        <v>180262.51200000002</v>
      </c>
      <c r="AP34" s="18">
        <f t="shared" si="168"/>
        <v>181123.80000000002</v>
      </c>
      <c r="AQ34" s="18">
        <f t="shared" si="167"/>
        <v>131169.09599999999</v>
      </c>
      <c r="AR34" s="18">
        <f t="shared" si="167"/>
        <v>130814.448</v>
      </c>
      <c r="AS34" s="18">
        <f t="shared" si="167"/>
        <v>179958.52799999999</v>
      </c>
      <c r="AT34" s="18">
        <f t="shared" si="167"/>
        <v>129573.18</v>
      </c>
      <c r="AU34" s="18">
        <f t="shared" ref="AU34:AV34" si="169">AU14+AU22+AU28</f>
        <v>127293.30000000002</v>
      </c>
      <c r="AV34" s="18">
        <f t="shared" si="169"/>
        <v>19226.988000000005</v>
      </c>
      <c r="AW34" s="17"/>
      <c r="AX34" s="46"/>
      <c r="AY34" s="18">
        <f t="shared" ref="AY34:AZ34" si="170">AY14+AY22+AY28</f>
        <v>144656.64000000001</v>
      </c>
      <c r="AZ34" s="18">
        <f t="shared" si="170"/>
        <v>107557.2</v>
      </c>
      <c r="BA34" s="46"/>
      <c r="BB34" s="18">
        <f t="shared" ref="BB34" si="171">BB14+BB22+BB28</f>
        <v>38306.260799999996</v>
      </c>
      <c r="BC34" s="31">
        <f>SUM(I34:BA34)</f>
        <v>4471727.6659999993</v>
      </c>
      <c r="BD34" s="1">
        <f>BC34/12*0.05</f>
        <v>18632.198608333329</v>
      </c>
    </row>
    <row r="35" spans="1:56" s="19" customFormat="1" x14ac:dyDescent="0.2">
      <c r="A35" s="71" t="s">
        <v>0</v>
      </c>
      <c r="B35" s="71"/>
      <c r="C35" s="71"/>
      <c r="D35" s="71"/>
      <c r="E35" s="71"/>
      <c r="F35" s="71"/>
      <c r="G35" s="52"/>
      <c r="H35" s="52"/>
      <c r="I35" s="57" t="s">
        <v>62</v>
      </c>
      <c r="J35" s="57" t="s">
        <v>63</v>
      </c>
      <c r="K35" s="57" t="s">
        <v>64</v>
      </c>
      <c r="L35" s="52"/>
      <c r="M35" s="53"/>
      <c r="N35" s="57" t="s">
        <v>66</v>
      </c>
      <c r="O35" s="57"/>
      <c r="P35" s="57"/>
      <c r="Q35" s="57" t="s">
        <v>72</v>
      </c>
      <c r="R35" s="57" t="s">
        <v>73</v>
      </c>
      <c r="S35" s="57" t="s">
        <v>74</v>
      </c>
      <c r="T35" s="52"/>
      <c r="U35" s="61"/>
      <c r="V35" s="57" t="s">
        <v>120</v>
      </c>
      <c r="W35" s="57" t="s">
        <v>121</v>
      </c>
      <c r="X35" s="57" t="s">
        <v>122</v>
      </c>
      <c r="Y35" s="57" t="s">
        <v>123</v>
      </c>
      <c r="Z35" s="52"/>
      <c r="AA35" s="53"/>
      <c r="AB35" s="57" t="s">
        <v>92</v>
      </c>
      <c r="AC35" s="57" t="s">
        <v>93</v>
      </c>
      <c r="AD35" s="57" t="s">
        <v>94</v>
      </c>
      <c r="AE35" s="57" t="s">
        <v>95</v>
      </c>
      <c r="AF35" s="57" t="s">
        <v>96</v>
      </c>
      <c r="AG35" s="57" t="s">
        <v>97</v>
      </c>
      <c r="AH35" s="57" t="s">
        <v>98</v>
      </c>
      <c r="AI35" s="57" t="s">
        <v>99</v>
      </c>
      <c r="AJ35" s="57" t="s">
        <v>100</v>
      </c>
      <c r="AK35" s="57" t="s">
        <v>92</v>
      </c>
      <c r="AL35" s="57" t="s">
        <v>101</v>
      </c>
      <c r="AM35" s="57" t="s">
        <v>102</v>
      </c>
      <c r="AN35" s="57" t="s">
        <v>103</v>
      </c>
      <c r="AO35" s="57" t="s">
        <v>104</v>
      </c>
      <c r="AP35" s="57" t="s">
        <v>105</v>
      </c>
      <c r="AQ35" s="57" t="s">
        <v>106</v>
      </c>
      <c r="AR35" s="57" t="s">
        <v>107</v>
      </c>
      <c r="AS35" s="57" t="s">
        <v>108</v>
      </c>
      <c r="AT35" s="57" t="s">
        <v>109</v>
      </c>
      <c r="AU35" s="57" t="s">
        <v>110</v>
      </c>
      <c r="AV35" s="57" t="s">
        <v>111</v>
      </c>
      <c r="AW35" s="52"/>
      <c r="AX35" s="53"/>
      <c r="AY35" s="57" t="s">
        <v>115</v>
      </c>
      <c r="AZ35" s="57" t="s">
        <v>116</v>
      </c>
      <c r="BA35" s="53"/>
      <c r="BB35" s="57" t="s">
        <v>119</v>
      </c>
      <c r="BC35" s="1"/>
      <c r="BD35" s="1"/>
    </row>
    <row r="36" spans="1:56" s="2" customFormat="1" ht="25.5" customHeight="1" x14ac:dyDescent="0.2">
      <c r="A36" s="67" t="s">
        <v>48</v>
      </c>
      <c r="B36" s="67"/>
      <c r="C36" s="67"/>
      <c r="D36" s="67"/>
      <c r="E36" s="67"/>
      <c r="F36" s="67"/>
      <c r="G36" s="54"/>
      <c r="H36" s="55">
        <f>H14+H22+H28</f>
        <v>18.690000000000001</v>
      </c>
      <c r="I36" s="55">
        <f t="shared" ref="I36:K36" si="172">I34 /12/I35</f>
        <v>18.693999999999999</v>
      </c>
      <c r="J36" s="55">
        <f t="shared" ref="J36" si="173">J34 /12/J35</f>
        <v>18.693999999999999</v>
      </c>
      <c r="K36" s="55">
        <f t="shared" si="172"/>
        <v>18.693999999999999</v>
      </c>
      <c r="L36" s="55"/>
      <c r="M36" s="56">
        <f t="shared" ref="M36" si="174">M14+M22+M28</f>
        <v>18.07</v>
      </c>
      <c r="N36" s="55">
        <f t="shared" ref="N36" si="175">N34/12/N35</f>
        <v>18.069999999999997</v>
      </c>
      <c r="O36" s="55"/>
      <c r="P36" s="56">
        <f t="shared" ref="P36" si="176">P14+P22+P28</f>
        <v>21.69</v>
      </c>
      <c r="Q36" s="55">
        <f t="shared" ref="Q36:S36" si="177">Q34 /12/Q35</f>
        <v>21.693999999999996</v>
      </c>
      <c r="R36" s="55">
        <f t="shared" si="177"/>
        <v>21.693999999999999</v>
      </c>
      <c r="S36" s="55">
        <f t="shared" si="177"/>
        <v>21.694000000000003</v>
      </c>
      <c r="T36" s="55"/>
      <c r="U36" s="56">
        <f t="shared" ref="U36" si="178">U14+U22+U28</f>
        <v>21.35</v>
      </c>
      <c r="V36" s="55">
        <f t="shared" ref="V36:Y36" si="179">V34 /12/V35</f>
        <v>21.35</v>
      </c>
      <c r="W36" s="55">
        <f t="shared" si="179"/>
        <v>21.35</v>
      </c>
      <c r="X36" s="55">
        <f t="shared" si="179"/>
        <v>21.349999999999998</v>
      </c>
      <c r="Y36" s="55">
        <f t="shared" si="179"/>
        <v>21.35</v>
      </c>
      <c r="Z36" s="55"/>
      <c r="AA36" s="56">
        <f t="shared" ref="AA36" si="180">AA14+AA22+AA28</f>
        <v>21.11</v>
      </c>
      <c r="AB36" s="55">
        <f t="shared" ref="AB36:AC36" si="181">AB34/12/AB35</f>
        <v>21.110000000000003</v>
      </c>
      <c r="AC36" s="55">
        <f t="shared" si="181"/>
        <v>21.110000000000003</v>
      </c>
      <c r="AD36" s="55">
        <f t="shared" ref="AD36:AG36" si="182">AD34/12/AD35</f>
        <v>21.110000000000003</v>
      </c>
      <c r="AE36" s="55">
        <f t="shared" si="182"/>
        <v>21.110000000000003</v>
      </c>
      <c r="AF36" s="55">
        <f t="shared" si="182"/>
        <v>21.110000000000003</v>
      </c>
      <c r="AG36" s="55">
        <f t="shared" si="182"/>
        <v>21.110000000000003</v>
      </c>
      <c r="AH36" s="55">
        <f t="shared" ref="AH36:AT36" si="183">AH34/12/AH35</f>
        <v>21.110000000000003</v>
      </c>
      <c r="AI36" s="55">
        <f t="shared" si="183"/>
        <v>21.110000000000003</v>
      </c>
      <c r="AJ36" s="55">
        <f t="shared" si="183"/>
        <v>21.11</v>
      </c>
      <c r="AK36" s="55">
        <f t="shared" si="183"/>
        <v>21.110000000000003</v>
      </c>
      <c r="AL36" s="55">
        <f t="shared" ref="AL36:AP36" si="184">AL34/12/AL35</f>
        <v>21.11</v>
      </c>
      <c r="AM36" s="55">
        <f t="shared" si="184"/>
        <v>21.11</v>
      </c>
      <c r="AN36" s="55">
        <f t="shared" si="184"/>
        <v>21.109999999999996</v>
      </c>
      <c r="AO36" s="55">
        <f t="shared" si="184"/>
        <v>21.110000000000003</v>
      </c>
      <c r="AP36" s="55">
        <f t="shared" si="184"/>
        <v>21.110000000000003</v>
      </c>
      <c r="AQ36" s="55">
        <f t="shared" si="183"/>
        <v>21.110000000000003</v>
      </c>
      <c r="AR36" s="55">
        <f t="shared" si="183"/>
        <v>21.11</v>
      </c>
      <c r="AS36" s="55">
        <f t="shared" si="183"/>
        <v>21.11</v>
      </c>
      <c r="AT36" s="55">
        <f t="shared" si="183"/>
        <v>21.11</v>
      </c>
      <c r="AU36" s="55">
        <f t="shared" ref="AU36:AV36" si="185">AU34/12/AU35</f>
        <v>21.110000000000003</v>
      </c>
      <c r="AV36" s="55">
        <f t="shared" si="185"/>
        <v>21.110000000000003</v>
      </c>
      <c r="AW36" s="55"/>
      <c r="AX36" s="56">
        <f t="shared" ref="AX36" si="186">AX14+AX22+AX28</f>
        <v>17.32</v>
      </c>
      <c r="AY36" s="55">
        <f t="shared" ref="AY36:AZ36" si="187">AY34/12/AY35</f>
        <v>17.32</v>
      </c>
      <c r="AZ36" s="55">
        <f t="shared" si="187"/>
        <v>17.32</v>
      </c>
      <c r="BA36" s="56">
        <f t="shared" ref="BA36" si="188">BA14+BA22+BA28</f>
        <v>16.649999999999999</v>
      </c>
      <c r="BB36" s="55">
        <f t="shared" ref="BB36" si="189">BB34/12/BB35</f>
        <v>16.651999999999997</v>
      </c>
      <c r="BC36" s="19"/>
      <c r="BD36" s="19"/>
    </row>
    <row r="37" spans="1:56" s="1" customFormat="1" ht="12.75" customHeight="1" x14ac:dyDescent="0.2">
      <c r="A37" s="4"/>
      <c r="B37" s="4"/>
      <c r="C37" s="4"/>
      <c r="D37" s="4"/>
      <c r="E37" s="4"/>
      <c r="F37" s="4"/>
      <c r="G37" s="4"/>
      <c r="H37" s="5"/>
      <c r="I37" s="5"/>
      <c r="J37" s="7"/>
      <c r="K37" s="5"/>
      <c r="L37" s="4"/>
      <c r="M37" s="6"/>
      <c r="N37" s="6"/>
      <c r="O37" s="6"/>
      <c r="P37" s="6"/>
      <c r="Q37" s="6"/>
      <c r="R37" s="6"/>
      <c r="S37" s="6"/>
      <c r="T37" s="4"/>
      <c r="U37" s="51"/>
      <c r="V37" s="6"/>
      <c r="W37" s="6"/>
      <c r="X37" s="6"/>
      <c r="Y37" s="6"/>
      <c r="Z37" s="4"/>
      <c r="AA37" s="40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4"/>
      <c r="AX37" s="40"/>
      <c r="AY37" s="6"/>
      <c r="AZ37" s="6"/>
      <c r="BB37" s="6"/>
    </row>
    <row r="38" spans="1:56" s="1" customFormat="1" ht="12.75" hidden="1" customHeight="1" x14ac:dyDescent="0.2">
      <c r="A38" s="4"/>
      <c r="B38" s="4"/>
      <c r="C38" s="4"/>
      <c r="D38" s="4"/>
      <c r="E38" s="4"/>
      <c r="F38" s="4"/>
      <c r="G38" s="4"/>
      <c r="H38" s="5"/>
      <c r="I38" s="5"/>
      <c r="J38" s="7"/>
      <c r="K38" s="5"/>
      <c r="L38" s="4"/>
      <c r="M38" s="6"/>
      <c r="N38" s="6"/>
      <c r="O38" s="6"/>
      <c r="P38" s="6"/>
      <c r="Q38" s="6"/>
      <c r="R38" s="6"/>
      <c r="S38" s="6"/>
      <c r="T38" s="4"/>
      <c r="U38" s="51"/>
      <c r="V38" s="6"/>
      <c r="W38" s="6"/>
      <c r="X38" s="6"/>
      <c r="Y38" s="6"/>
      <c r="Z38" s="4"/>
      <c r="AA38" s="38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4"/>
      <c r="AX38" s="41"/>
      <c r="AY38" s="6"/>
      <c r="AZ38" s="6"/>
      <c r="BB38" s="6"/>
    </row>
    <row r="39" spans="1:56" s="1" customFormat="1" x14ac:dyDescent="0.2">
      <c r="A39" s="4"/>
      <c r="B39" s="4"/>
      <c r="C39" s="4"/>
      <c r="D39" s="4"/>
      <c r="E39" s="4"/>
      <c r="F39" s="4"/>
      <c r="G39" s="4"/>
      <c r="H39" s="5"/>
      <c r="I39" s="5"/>
      <c r="J39" s="7"/>
      <c r="K39" s="5"/>
      <c r="L39" s="4"/>
      <c r="M39" s="4"/>
      <c r="N39" s="4"/>
      <c r="O39" s="4"/>
      <c r="P39" s="4"/>
      <c r="Q39" s="4"/>
      <c r="R39" s="4"/>
      <c r="S39" s="4"/>
      <c r="T39" s="4"/>
      <c r="U39" s="51"/>
      <c r="V39" s="4"/>
      <c r="W39" s="4"/>
      <c r="X39" s="4"/>
      <c r="Y39" s="4"/>
      <c r="Z39" s="4"/>
      <c r="AA39" s="39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2"/>
      <c r="AY39" s="4"/>
      <c r="AZ39" s="4"/>
      <c r="BB39" s="4"/>
    </row>
    <row r="40" spans="1:56" x14ac:dyDescent="0.2">
      <c r="U40" s="6"/>
      <c r="AA40" s="36"/>
      <c r="AX40" s="43"/>
    </row>
    <row r="41" spans="1:56" x14ac:dyDescent="0.2">
      <c r="AX41" s="19"/>
    </row>
    <row r="42" spans="1:56" x14ac:dyDescent="0.2">
      <c r="AX42" s="19"/>
    </row>
    <row r="43" spans="1:56" x14ac:dyDescent="0.2">
      <c r="AX43" s="19"/>
    </row>
    <row r="44" spans="1:56" x14ac:dyDescent="0.2">
      <c r="AX44" s="19"/>
    </row>
    <row r="45" spans="1:56" x14ac:dyDescent="0.2">
      <c r="AX45" s="19"/>
    </row>
    <row r="46" spans="1:56" x14ac:dyDescent="0.2">
      <c r="AX46" s="19"/>
    </row>
    <row r="47" spans="1:56" x14ac:dyDescent="0.2">
      <c r="AX47" s="44"/>
    </row>
    <row r="48" spans="1:56" x14ac:dyDescent="0.2">
      <c r="AX48" s="44"/>
    </row>
    <row r="49" spans="50:50" x14ac:dyDescent="0.2">
      <c r="AX49" s="44"/>
    </row>
    <row r="50" spans="50:50" x14ac:dyDescent="0.2">
      <c r="AX50" s="44"/>
    </row>
    <row r="51" spans="50:50" x14ac:dyDescent="0.2">
      <c r="AX51" s="44"/>
    </row>
    <row r="52" spans="50:50" x14ac:dyDescent="0.2">
      <c r="AX52" s="44"/>
    </row>
    <row r="53" spans="50:50" x14ac:dyDescent="0.2">
      <c r="AX53" s="44"/>
    </row>
    <row r="54" spans="50:50" x14ac:dyDescent="0.2">
      <c r="AX54" s="44"/>
    </row>
  </sheetData>
  <mergeCells count="47">
    <mergeCell ref="BA7:BA8"/>
    <mergeCell ref="T7:T8"/>
    <mergeCell ref="U7:U8"/>
    <mergeCell ref="AX7:AX8"/>
    <mergeCell ref="AW7:AW8"/>
    <mergeCell ref="AA7:AA8"/>
    <mergeCell ref="Z7:Z8"/>
    <mergeCell ref="A1:G1"/>
    <mergeCell ref="A2:G2"/>
    <mergeCell ref="A3:G3"/>
    <mergeCell ref="A4:G4"/>
    <mergeCell ref="G6:K6"/>
    <mergeCell ref="H7:H8"/>
    <mergeCell ref="A6:F8"/>
    <mergeCell ref="G7:G8"/>
    <mergeCell ref="L7:L8"/>
    <mergeCell ref="M7:M8"/>
    <mergeCell ref="O7:O8"/>
    <mergeCell ref="P7:P8"/>
    <mergeCell ref="A9:F9"/>
    <mergeCell ref="A23:F23"/>
    <mergeCell ref="A25:F25"/>
    <mergeCell ref="A15:F15"/>
    <mergeCell ref="A10:F10"/>
    <mergeCell ref="A11:F11"/>
    <mergeCell ref="A12:F12"/>
    <mergeCell ref="A13:F13"/>
    <mergeCell ref="A14:F14"/>
    <mergeCell ref="A24:F24"/>
    <mergeCell ref="A16:F16"/>
    <mergeCell ref="A17:F17"/>
    <mergeCell ref="A18:F18"/>
    <mergeCell ref="A19:F19"/>
    <mergeCell ref="A20:F20"/>
    <mergeCell ref="A21:F21"/>
    <mergeCell ref="A22:F22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34:F34"/>
    <mergeCell ref="A27:F27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2016-06-01T11:18:16Z</cp:lastPrinted>
  <dcterms:created xsi:type="dcterms:W3CDTF">2013-04-24T10:34:01Z</dcterms:created>
  <dcterms:modified xsi:type="dcterms:W3CDTF">2016-06-15T07:55:57Z</dcterms:modified>
</cp:coreProperties>
</file>